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W133"/>
  <c r="U143" s="1"/>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V143"/>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<sst xmlns="http://schemas.openxmlformats.org/spreadsheetml/2006/main" count="2077" uniqueCount="1749">
  <si>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</si>
  <si>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</si>
  <si>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</si>
  <si>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</si>
  <si>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</si>
  <si>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</si>
  <si>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</si>
  <si>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</si>
  <si>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</si>
  <si>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</si>
  <si>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</si>
  <si>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</si>
  <si>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</si>
  <si>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</si>
  <si>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</si>
  <si>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</si>
  <si>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</si>
  <si>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</si>
  <si>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</si>
  <si>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</si>
  <si>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</si>
  <si>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</si>
  <si>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</si>
  <si>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</si>
  <si>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</si>
  <si>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</si>
  <si>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</si>
  <si>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</si>
  <si>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</si>
  <si>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</si>
  <si>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</si>
  <si>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</si>
  <si>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</si>
  <si>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</si>
  <si>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</si>
  <si>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</si>
  <si>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</si>
  <si>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</si>
  <si>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</si>
  <si>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</si>
  <si>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</si>
  <si>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</si>
  <si>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</si>
  <si>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</si>
  <si>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</si>
  <si>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</si>
  <si>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</si>
  <si>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</si>
  <si>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</si>
  <si>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</si>
  <si>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</si>
  <si>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</si>
  <si>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</si>
  <si>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</si>
  <si>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</si>
  <si>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</si>
  <si>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</si>
  <si>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</si>
  <si>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</si>
  <si>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</si>
  <si>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</si>
  <si>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</si>
  <si>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</si>
  <si>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</si>
  <si>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</si>
  <si>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</si>
  <si>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</si>
  <si>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</si>
  <si>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</si>
  <si>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</si>
  <si>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</si>
  <si>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</si>
  <si>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</si>
  <si>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</si>
  <si>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</si>
  <si>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</si>
  <si>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</si>
  <si>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</si>
  <si>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</si>
  <si>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</si>
  <si>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</si>
  <si>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</si>
  <si>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</si>
  <si>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</si>
  <si>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</si>
  <si>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</si>
  <si>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</si>
  <si>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</si>
  <si>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</si>
  <si>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</si>
  <si>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</si>
  <si>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</si>
  <si>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</si>
  <si>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</si>
  <si>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</si>
  <si>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</si>
  <si>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</si>
  <si>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</si>
  <si>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</si>
  <si>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</si>
  <si>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</si>
  <si>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</si>
  <si>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</si>
  <si>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</si>
  <si>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</si>
  <si>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</si>
  <si>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</si>
  <si>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</si>
  <si>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</si>
  <si>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</si>
  <si>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</si>
  <si>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</si>
  <si>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</si>
  <si>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</si>
  <si>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</si>
  <si>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</si>
  <si>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</si>
  <si>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</si>
  <si>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</si>
  <si>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</si>
  <si>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</si>
  <si>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</si>
  <si>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</si>
  <si>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</si>
  <si>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</si>
  <si>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</si>
  <si>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</si>
  <si>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</si>
  <si>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</si>
  <si>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</si>
  <si>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</si>
  <si>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</si>
  <si>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</si>
  <si>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</si>
  <si>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</si>
  <si>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</si>
  <si>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</si>
  <si>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</si>
  <si>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</si>
  <si>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</si>
  <si>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</si>
  <si>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</si>
  <si>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</si>
  <si>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</si>
  <si>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</si>
  <si>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</si>
  <si>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</si>
  <si>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</si>
  <si>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</si>
  <si>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</si>
  <si>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</si>
  <si>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</si>
  <si>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</si>
  <si>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</si>
  <si>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</si>
  <si>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</si>
  <si>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</si>
  <si>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</si>
  <si>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</si>
  <si>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</si>
  <si>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</si>
  <si>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</si>
  <si>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</si>
  <si>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</si>
  <si>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</si>
  <si>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</si>
  <si>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</si>
  <si>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</si>
  <si>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</si>
  <si>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</si>
  <si>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</si>
  <si>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</si>
  <si>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</si>
  <si>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</si>
  <si>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</si>
  <si>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</si>
  <si>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</si>
  <si>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</si>
  <si>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</si>
  <si>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</si>
  <si>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</si>
  <si>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</si>
  <si>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</si>
  <si>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</si>
  <si>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</si>
  <si>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</si>
  <si>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</si>
  <si>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</si>
  <si>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</si>
  <si>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</si>
  <si>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</si>
  <si>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</si>
  <si>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</si>
  <si>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</si>
  <si>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</si>
  <si>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</si>
  <si>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</si>
  <si>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</si>
  <si>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</si>
  <si>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</si>
  <si>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</si>
  <si>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</si>
  <si>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</si>
  <si>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</si>
  <si>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</si>
  <si>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</si>
  <si>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</si>
  <si>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</si>
  <si>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</si>
  <si>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</si>
  <si>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</si>
  <si>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</si>
  <si>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</si>
  <si>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</si>
  <si>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</si>
  <si>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</si>
  <si>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</si>
  <si>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</si>
  <si>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</si>
  <si>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</si>
  <si>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</si>
  <si>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</si>
  <si>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</si>
  <si>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</si>
  <si>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</si>
  <si>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</si>
  <si>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</si>
  <si>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</si>
  <si>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</si>
  <si>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</si>
  <si>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</si>
  <si>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</si>
  <si>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</si>
  <si>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</si>
  <si>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</si>
  <si>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</si>
  <si>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</si>
  <si>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</si>
  <si>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</si>
  <si>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</si>
  <si>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</si>
  <si>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</si>
  <si>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</si>
  <si>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</si>
  <si>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</si>
  <si>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</si>
  <si>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</si>
  <si>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</si>
  <si>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</si>
  <si>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</si>
  <si>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</si>
  <si>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</si>
  <si>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</si>
  <si>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</si>
  <si>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</si>
  <si>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</si>
  <si>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</si>
  <si>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</si>
  <si>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</si>
  <si>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</si>
  <si>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</si>
  <si>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</si>
  <si>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</si>
  <si>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</si>
  <si>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</si>
  <si>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</si>
  <si>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</si>
  <si>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</si>
  <si>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</si>
  <si>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</si>
  <si>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</si>
  <si>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</si>
  <si>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</si>
  <si>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</si>
  <si>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</si>
  <si>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</si>
  <si>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</si>
  <si>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</si>
  <si>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</si>
  <si>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</si>
  <si>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</si>
  <si>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</si>
  <si>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</si>
  <si>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</si>
  <si>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</si>
  <si>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</si>
  <si>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</si>
  <si>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</si>
  <si>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</si>
  <si>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</si>
  <si>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</si>
  <si>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</si>
  <si>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</si>
  <si>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</si>
  <si>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</si>
  <si>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</si>
  <si>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</si>
  <si>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</si>
  <si>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</si>
  <si>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</si>
  <si>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</si>
  <si>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</si>
  <si>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</si>
  <si>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</si>
  <si>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</si>
  <si>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</si>
  <si>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</si>
  <si>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</si>
  <si>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</si>
  <si>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</si>
  <si>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</si>
  <si>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</si>
  <si>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</si>
  <si>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</si>
  <si>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</si>
  <si>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</si>
  <si>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</si>
  <si>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</si>
  <si>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</si>
  <si>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</si>
  <si>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</si>
  <si>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</si>
  <si>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</si>
  <si>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</si>
  <si>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</si>
  <si>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</si>
  <si>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</si>
  <si>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</si>
  <si>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</si>
  <si>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</si>
  <si>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</si>
  <si>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</si>
  <si>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</si>
  <si>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</si>
  <si>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</si>
  <si>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</si>
  <si>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</si>
  <si>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</si>
  <si>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</si>
  <si>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</si>
  <si>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</si>
  <si>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</si>
  <si>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</si>
  <si>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</si>
  <si>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</si>
  <si>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</si>
  <si>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</si>
  <si>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</si>
  <si>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</si>
  <si>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</si>
  <si>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</si>
  <si>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</si>
  <si>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</si>
  <si>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</si>
  <si>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</si>
  <si>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</si>
  <si>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</si>
  <si>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</si>
  <si>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</si>
  <si>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</si>
  <si>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</si>
  <si>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</si>
  <si>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</si>
  <si>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</si>
  <si>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</si>
  <si>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</si>
  <si>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</si>
  <si>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</si>
  <si>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</si>
  <si>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</si>
  <si>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</si>
  <si>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</si>
  <si>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</si>
  <si>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</si>
  <si>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</si>
  <si>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</si>
  <si>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</si>
  <si>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</si>
  <si>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</si>
  <si>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</si>
  <si>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</si>
  <si>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</si>
  <si>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</si>
  <si>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</si>
  <si>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</si>
  <si>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</si>
  <si>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</si>
  <si>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</si>
  <si>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</si>
  <si>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</si>
  <si>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</si>
  <si>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</si>
  <si>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</si>
  <si>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</si>
  <si>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</si>
  <si>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</si>
  <si>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</si>
  <si>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</si>
  <si>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</si>
  <si>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</si>
  <si>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</si>
  <si>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</si>
  <si>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</si>
  <si>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</si>
  <si>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</si>
  <si>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</si>
  <si>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</si>
  <si>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</si>
  <si>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</si>
  <si>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</si>
  <si>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</si>
  <si>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</si>
  <si>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</si>
  <si>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</si>
  <si>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</si>
  <si>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</si>
  <si>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</si>
  <si>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</si>
  <si>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</si>
  <si>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</si>
  <si>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</si>
  <si>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</si>
  <si>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</si>
  <si>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</si>
  <si>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</si>
  <si>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</si>
  <si>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</si>
  <si>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</si>
  <si>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</si>
  <si>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</si>
  <si>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</si>
  <si>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</si>
  <si>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</si>
  <si>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</si>
  <si>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</si>
  <si>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</si>
  <si>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</si>
  <si>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</si>
  <si>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</si>
  <si>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</si>
  <si>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</si>
  <si>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</si>
  <si>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</si>
  <si>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</si>
  <si>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</si>
  <si>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</si>
  <si>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</si>
  <si>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</si>
  <si>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</si>
  <si>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</si>
  <si>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</si>
  <si>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</si>
  <si>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</si>
  <si>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</si>
  <si>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</si>
  <si>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</si>
  <si>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</si>
  <si>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</si>
  <si>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</si>
  <si>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</si>
  <si>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</si>
  <si>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</si>
  <si>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</si>
  <si>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</si>
  <si>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</si>
  <si>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</si>
  <si>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</si>
  <si>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</si>
  <si>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</si>
  <si>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</si>
  <si>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</si>
  <si>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</si>
  <si>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</si>
  <si>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</si>
  <si>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</si>
  <si>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</si>
  <si>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</si>
  <si>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</si>
  <si>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</si>
  <si>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</si>
  <si>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</si>
  <si>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</si>
  <si>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</si>
  <si>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</si>
  <si>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</si>
  <si>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</si>
  <si>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</si>
  <si>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</si>
  <si>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</si>
  <si>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</si>
  <si>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</si>
  <si>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</si>
  <si>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</si>
  <si>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</si>
  <si>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</si>
  <si>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</si>
  <si>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</si>
  <si>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</si>
  <si>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</si>
  <si>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</si>
  <si>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</si>
  <si>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</si>
  <si>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</si>
  <si>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</si>
  <si>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</si>
  <si>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</si>
  <si>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</si>
  <si>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</si>
  <si>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</si>
  <si>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</si>
  <si>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</si>
  <si>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</si>
  <si>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</si>
  <si>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</si>
  <si>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</si>
  <si>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</si>
  <si>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</si>
  <si>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</si>
  <si>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</si>
  <si>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</si>
  <si>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</si>
  <si>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</si>
  <si>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</si>
  <si>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</si>
  <si>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</si>
  <si>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</si>
  <si>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</si>
  <si>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</si>
  <si>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</si>
  <si>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</si>
  <si>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</si>
  <si>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</si>
  <si>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</si>
  <si>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</si>
  <si>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</si>
  <si>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</si>
  <si>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</si>
  <si>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</si>
  <si>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</si>
  <si>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</si>
  <si>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</si>
  <si>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</si>
  <si>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</si>
  <si>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</si>
  <si>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</si>
  <si>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</si>
  <si>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</si>
  <si>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</si>
  <si>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</si>
  <si>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</si>
  <si>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</si>
  <si>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</si>
  <si>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</si>
  <si>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</si>
  <si>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</si>
  <si>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</si>
  <si>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</si>
  <si>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</si>
  <si>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</si>
  <si>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</si>
  <si>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</si>
  <si>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</si>
  <si>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</si>
  <si>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</si>
  <si>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</si>
  <si>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</si>
  <si>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</si>
  <si>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</si>
  <si>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</si>
  <si>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</si>
  <si>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</si>
  <si>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</si>
  <si>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</si>
  <si>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</si>
  <si>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</si>
  <si>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</si>
  <si>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</si>
  <si>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</si>
  <si>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</si>
  <si>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</si>
  <si>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</si>
  <si>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</si>
  <si>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</si>
  <si>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</si>
  <si>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</si>
  <si>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</si>
  <si>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</si>
  <si>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</si>
  <si>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</si>
  <si>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</si>
  <si>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</si>
  <si>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</si>
  <si>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</si>
  <si>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</si>
  <si>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</si>
  <si>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</si>
  <si>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</si>
  <si>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</si>
  <si>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</si>
  <si>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</si>
  <si>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</si>
  <si>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</si>
  <si>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</si>
  <si>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</si>
  <si>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</si>
  <si>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</si>
  <si>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</si>
  <si>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</si>
  <si>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</si>
  <si>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</si>
  <si>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</si>
  <si>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</si>
  <si>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</si>
  <si>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</si>
  <si>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</si>
  <si>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</si>
  <si>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</si>
  <si>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</si>
  <si>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</si>
  <si>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</si>
  <si>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</si>
  <si>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</si>
  <si>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</si>
  <si>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</si>
  <si>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</si>
  <si>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</si>
  <si>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</si>
  <si>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</si>
  <si>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</si>
  <si>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</si>
  <si>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</si>
  <si>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</si>
  <si>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</si>
  <si>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</si>
  <si>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</si>
  <si>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</si>
  <si>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</si>
  <si>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</si>
  <si>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</si>
  <si>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</si>
  <si>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</si>
  <si>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</si>
  <si>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</si>
  <si>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</si>
  <si>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</si>
  <si>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</si>
  <si>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</si>
  <si>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</si>
  <si>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</si>
  <si>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</si>
  <si>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</si>
  <si>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</si>
  <si>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</si>
  <si>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</si>
  <si>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</si>
  <si>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</si>
  <si>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</si>
  <si>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</si>
  <si>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</si>
  <si>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</si>
  <si>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</si>
  <si>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</si>
  <si>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</si>
  <si>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</si>
  <si>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</si>
  <si>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</si>
  <si>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</si>
  <si>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</si>
  <si>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</si>
  <si>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</si>
  <si>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</si>
  <si>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</si>
  <si>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</si>
  <si>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</si>
  <si>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</si>
  <si>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</si>
  <si>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</si>
  <si>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</si>
  <si>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</si>
  <si>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</si>
  <si>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</si>
  <si>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</si>
  <si>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</si>
  <si>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</si>
  <si>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</si>
  <si>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</si>
  <si>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</si>
  <si>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</si>
  <si>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</si>
  <si>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</si>
  <si>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</si>
  <si>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</si>
  <si>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</si>
  <si>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</si>
  <si>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</si>
  <si>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</si>
  <si>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</si>
  <si>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</si>
  <si>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</si>
  <si>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</si>
  <si>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</si>
  <si>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</si>
  <si>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</si>
  <si>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</si>
  <si>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</si>
  <si>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</si>
  <si>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</si>
  <si>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</si>
  <si>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</si>
  <si>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</si>
  <si>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</si>
  <si>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</si>
  <si>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</si>
  <si>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</si>
  <si>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</si>
  <si>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</si>
  <si>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</si>
  <si>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</si>
  <si>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</si>
  <si>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</si>
  <si>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</si>
  <si>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</si>
  <si>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</si>
  <si>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</si>
  <si>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</si>
  <si>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</si>
  <si>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</si>
  <si>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</si>
  <si>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</si>
  <si>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</si>
  <si>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</si>
  <si>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</si>
  <si>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</si>
  <si>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</si>
  <si>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</si>
  <si>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</si>
  <si>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</si>
  <si>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</si>
  <si>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</si>
  <si>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</si>
  <si>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</si>
  <si>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</si>
  <si>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</si>
  <si>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</si>
  <si>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</si>
  <si>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</si>
  <si>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</si>
  <si>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</si>
  <si>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</si>
  <si>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</si>
  <si>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</si>
  <si>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</si>
  <si>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</si>
  <si>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</si>
  <si>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</si>
  <si>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</si>
  <si>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</si>
  <si>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</si>
  <si>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</si>
  <si>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</si>
  <si>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</si>
  <si>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</si>
  <si>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</si>
  <si>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</si>
  <si>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</si>
  <si>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</si>
  <si>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</si>
  <si>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</si>
  <si>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</si>
  <si>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</si>
  <si>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</si>
  <si>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</si>
  <si>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</si>
  <si>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</si>
  <si>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</si>
  <si>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</si>
  <si>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</si>
  <si>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</si>
  <si>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</si>
  <si>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</si>
  <si>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</si>
  <si>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</si>
  <si>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</si>
  <si>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</si>
  <si>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</si>
  <si>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</si>
  <si>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</si>
  <si>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</si>
  <si>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</si>
  <si>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</si>
  <si>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</si>
  <si>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</si>
  <si>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</si>
  <si>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</si>
  <si>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</si>
  <si>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</si>
  <si>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</si>
  <si>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</si>
  <si>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</si>
  <si>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</si>
  <si>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</si>
  <si>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</si>
  <si>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</si>
  <si>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</si>
  <si>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</si>
  <si>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</si>
  <si>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</si>
  <si>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</si>
  <si>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</si>
  <si>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</si>
  <si>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</si>
  <si>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</si>
  <si>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</si>
  <si>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</si>
  <si>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</si>
  <si>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</si>
  <si>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</si>
  <si>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</si>
  <si>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</si>
  <si>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</si>
  <si>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</si>
  <si>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</si>
  <si>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</si>
  <si>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</si>
  <si>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</si>
  <si>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</si>
  <si>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</si>
  <si>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</si>
  <si>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</si>
  <si>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</si>
  <si>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</si>
  <si>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</si>
  <si>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</si>
  <si>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</si>
  <si>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</si>
  <si>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</si>
  <si>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</si>
  <si>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</si>
  <si>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</si>
  <si>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</si>
  <si>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</si>
  <si>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</si>
  <si>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</si>
  <si>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</si>
  <si>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</si>
  <si>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</si>
  <si>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</si>
  <si>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</si>
  <si>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</si>
  <si>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</si>
  <si>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</si>
  <si>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</si>
  <si>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</si>
  <si>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</si>
  <si>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</si>
  <si>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</si>
  <si>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</si>
  <si>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</si>
  <si>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</si>
  <si>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</si>
  <si>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</si>
  <si>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</si>
  <si>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</si>
  <si>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</si>
  <si>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</si>
  <si>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</si>
  <si>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</si>
  <si>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</si>
  <si>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</si>
  <si>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</si>
  <si>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</si>
  <si>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</si>
  <si>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</si>
  <si>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</si>
  <si>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</si>
  <si>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</si>
  <si>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</si>
  <si>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</si>
  <si>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</si>
  <si>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</si>
  <si>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</si>
  <si>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</si>
  <si>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</si>
  <si>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</si>
  <si>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</si>
  <si>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</si>
  <si>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</si>
  <si>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</si>
  <si>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</si>
  <si>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</si>
  <si>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</si>
  <si>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</si>
  <si>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</si>
  <si>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</si>
  <si>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</si>
  <si>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</si>
  <si>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</si>
  <si>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</si>
  <si>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</si>
  <si>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</si>
  <si>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</si>
  <si>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</si>
  <si>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</si>
  <si>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</si>
  <si>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</si>
  <si>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</si>
  <si>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</si>
  <si>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</si>
  <si>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</si>
  <si>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</si>
  <si>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</si>
  <si>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</si>
  <si>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</si>
  <si>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</si>
  <si>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</si>
  <si>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</si>
  <si>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</si>
  <si>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</si>
  <si>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</si>
  <si>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</si>
  <si>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</si>
  <si>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</si>
  <si>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</si>
  <si>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</si>
  <si>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</si>
  <si>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</si>
  <si>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</si>
  <si>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</si>
  <si>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</si>
  <si>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</si>
  <si>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</si>
  <si>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</si>
  <si>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</si>
  <si>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</si>
  <si>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</si>
  <si>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</si>
  <si>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</si>
  <si>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</si>
  <si>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</si>
  <si>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</si>
  <si>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</si>
  <si>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</si>
  <si>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</si>
  <si>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</si>
  <si>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</si>
  <si>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</si>
  <si>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</si>
  <si>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</si>
  <si>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</si>
  <si>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</si>
  <si>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</si>
  <si>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</si>
  <si>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</si>
  <si>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</si>
  <si>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</si>
  <si>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</si>
  <si>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</si>
  <si>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</si>
  <si>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</si>
  <si>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</si>
  <si>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</si>
  <si>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</si>
  <si>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</si>
  <si>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</si>
  <si>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</si>
  <si>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</si>
  <si>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</si>
  <si>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</si>
  <si>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</si>
  <si>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</si>
  <si>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</si>
  <si>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</si>
  <si>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</si>
  <si>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</si>
  <si>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</si>
  <si>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</si>
  <si>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</si>
  <si>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</si>
  <si>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</si>
  <si>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</si>
  <si>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</si>
  <si>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</si>
  <si>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</si>
  <si>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</si>
  <si>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</si>
  <si>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</si>
  <si>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</si>
  <si>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</si>
  <si>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</si>
  <si>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</si>
  <si>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</si>
  <si>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</si>
  <si>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</si>
  <si>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</si>
  <si>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</si>
  <si>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</si>
  <si>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</si>
  <si>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</si>
  <si>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</si>
  <si>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</si>
  <si>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</si>
  <si>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</si>
  <si>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</si>
  <si>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</si>
  <si>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</si>
  <si>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</si>
  <si>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</si>
  <si>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</si>
  <si>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</si>
  <si>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</si>
  <si>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</si>
  <si>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</si>
  <si>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</si>
  <si>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</si>
  <si>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</si>
  <si>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</si>
  <si>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</si>
  <si>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</si>
  <si>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</si>
  <si>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</si>
  <si>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</si>
  <si>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</si>
  <si>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</si>
  <si>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</si>
  <si>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</si>
  <si>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</si>
  <si>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</si>
  <si>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</si>
  <si>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</si>
  <si>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</si>
  <si>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</si>
  <si>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</si>
  <si>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</si>
  <si>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</si>
  <si>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</si>
  <si>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</si>
  <si>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</si>
  <si>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</si>
  <si>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</si>
  <si>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</si>
  <si>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</si>
  <si>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</si>
  <si>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</si>
  <si>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</si>
  <si>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</si>
  <si>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</si>
  <si>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</si>
  <si>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</si>
  <si>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</si>
  <si>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</si>
  <si>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</si>
  <si>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</si>
  <si>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</si>
  <si>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</si>
  <si>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</si>
  <si>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</si>
  <si>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</si>
  <si>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</si>
  <si>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</si>
  <si>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</si>
  <si>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</si>
  <si>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</si>
  <si>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</si>
  <si>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</si>
  <si>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</si>
  <si>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</si>
  <si>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</si>
  <si>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</si>
  <si>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</si>
  <si>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</si>
  <si>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</si>
  <si>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</si>
  <si>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</si>
  <si>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</si>
  <si>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</si>
  <si>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</si>
  <si>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</si>
  <si>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</si>
  <si>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</si>
  <si>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</si>
  <si>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</si>
  <si>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</si>
  <si>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</si>
  <si>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</si>
  <si>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</si>
  <si>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</si>
  <si>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</si>
  <si>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</si>
  <si>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</si>
  <si>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</si>
  <si>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</si>
  <si>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</si>
  <si>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</si>
  <si>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</si>
  <si>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</si>
  <si>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</si>
  <si>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</si>
  <si>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</si>
  <si>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</si>
  <si>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</si>
  <si>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</si>
  <si>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</si>
  <si>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</si>
  <si>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</si>
  <si>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</si>
  <si>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</si>
  <si>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</si>
  <si>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</si>
  <si>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</si>
  <si>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</si>
  <si>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</si>
  <si>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</si>
  <si>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</si>
  <si>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</si>
  <si>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</si>
  <si>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</si>
  <si>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</si>
  <si>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</si>
  <si>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</si>
  <si>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</si>
  <si>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</si>
  <si>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</si>
  <si>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</si>
  <si>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</si>
  <si>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</si>
  <si>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</si>
  <si>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</si>
  <si>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</si>
  <si>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</si>
  <si>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</si>
  <si>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</si>
  <si>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</si>
  <si>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</si>
  <si>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</si>
  <si>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</si>
  <si>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</si>
  <si>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</si>
  <si>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</si>
  <si>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</si>
  <si>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</si>
  <si>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</si>
  <si>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</si>
  <si>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</si>
  <si>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</si>
  <si>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</si>
  <si>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</si>
  <si>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</si>
  <si>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</si>
  <si>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</si>
  <si>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</si>
  <si>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</si>
  <si>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</si>
  <si>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</si>
  <si>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</si>
  <si>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</si>
  <si>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</si>
  <si>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</si>
  <si>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</si>
  <si>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</si>
  <si>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</si>
  <si>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</si>
  <si>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</si>
  <si>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</si>
  <si>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</si>
  <si>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</si>
  <si>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</si>
  <si>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</si>
  <si>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</si>
  <si>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</si>
  <si>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</si>
  <si>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</si>
  <si>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</si>
  <si>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</si>
  <si>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</si>
  <si>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</si>
  <si>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</si>
  <si>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</si>
  <si>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</si>
  <si>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</si>
  <si>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</si>
  <si>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</si>
  <si>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</si>
  <si>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</si>
  <si>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</si>
  <si>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</si>
  <si>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</si>
  <si>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</si>
  <si>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</si>
  <si>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</si>
  <si>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</si>
  <si>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</si>
  <si>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</si>
  <si>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</si>
  <si>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</si>
  <si>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</si>
  <si>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</si>
  <si>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</si>
  <si>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</si>
  <si>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</si>
  <si>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</si>
  <si>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</si>
  <si>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</si>
  <si>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</si>
  <si>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</si>
  <si>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</si>
  <si>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</si>
  <si>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</si>
  <si>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</si>
  <si>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</si>
  <si>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</si>
  <si>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</si>
  <si>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</si>
  <si>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</si>
  <si>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</si>
  <si>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</si>
  <si>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</si>
  <si>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</si>
  <si>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</si>
  <si>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</si>
  <si>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</si>
  <si>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</si>
  <si>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</si>
  <si>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</si>
  <si>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</si>
  <si>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</si>
  <si>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</si>
  <si>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</si>
  <si>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</si>
  <si>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</si>
  <si>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</si>
  <si>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</si>
  <si>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</si>
  <si>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</si>
  <si>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</si>
  <si>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</si>
  <si>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</si>
  <si>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</si>
  <si>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</si>
  <si>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</si>
  <si>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</si>
  <si>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</si>
  <si>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</si>
  <si>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</si>
  <si>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</si>
  <si>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</si>
  <si>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</si>
  <si>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</si>
  <si>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</si>
  <si>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</si>
  <si>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</si>
  <si>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</si>
  <si>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</si>
  <si>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</si>
  <si>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</si>
  <si>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</si>
  <si>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</si>
  <si>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</si>
  <si>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</si>
  <si>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</si>
  <si>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</si>
  <si>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</si>
  <si>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</si>
  <si>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</si>
  <si>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</si>
  <si>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</si>
  <si>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</si>
  <si>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</si>
  <si>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</si>
  <si>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</si>
  <si>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</si>
  <si>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</si>
  <si>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</si>
  <si>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</si>
  <si>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</si>
  <si>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</si>
  <si>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</si>
  <si>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</si>
  <si>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</si>
  <si>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</si>
  <si>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</si>
  <si>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</si>
  <si>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</si>
  <si>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</si>
  <si>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</si>
  <si>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</si>
  <si>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</si>
  <si>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</si>
  <si>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</si>
  <si>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</si>
  <si>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</si>
  <si>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</si>
  <si>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</si>
  <si>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</si>
  <si>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</si>
  <si>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</si>
  <si>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</si>
  <si>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</si>
  <si>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</si>
  <si>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</si>
  <si>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</si>
  <si>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</si>
  <si>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</si>
  <si>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</si>
  <si>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</si>
  <si>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</si>
  <si>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</si>
  <si>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</si>
  <si>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</si>
  <si>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</si>
  <si>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</si>
  <si>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</si>
  <si>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</si>
  <si>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</si>
  <si>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</si>
  <si>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</si>
  <si>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</si>
  <si>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</si>
  <si>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</si>
  <si>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</si>
  <si>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</si>
  <si>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</si>
  <si>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</si>
  <si>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</si>
  <si>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</si>
  <si>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</si>
  <si>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</si>
  <si>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</si>
  <si>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</si>
  <si>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</si>
  <si>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</si>
  <si>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</si>
  <si>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</si>
  <si>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</si>
  <si>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</si>
  <si>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</si>
  <si>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</si>
  <si>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</si>
  <si>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</si>
  <si>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</si>
  <si>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</si>
  <si>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</si>
  <si>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</si>
  <si>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</si>
  <si>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</si>
  <si>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</si>
  <si>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</si>
  <si>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</si>
  <si>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</si>
  <si>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</si>
  <si>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</si>
  <si>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</si>
  <si>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</si>
  <si>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</si>
  <si>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</si>
  <si>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</si>
  <si>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</si>
  <si>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</si>
  <si>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</si>
  <si>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</si>
  <si>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</si>
  <si>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</si>
  <si>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</si>
  <si>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</si>
  <si>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</si>
  <si>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</si>
  <si>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</si>
  <si>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</si>
  <si>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</si>
  <si>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</si>
  <si>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</si>
  <si>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</si>
  <si>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</si>
  <si>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</si>
  <si>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</si>
  <si>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</si>
  <si>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</si>
  <si>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</si>
  <si>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</si>
  <si>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</si>
  <si>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</si>
  <si>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</si>
  <si>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</si>
  <si>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</si>
  <si>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</si>
  <si>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</si>
  <si>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</si>
  <si>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</si>
  <si>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</si>
  <si>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</si>
  <si>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</si>
  <si>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</si>
  <si>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</si>
  <si>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</si>
  <si>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</si>
  <si>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</si>
  <si>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</si>
  <si>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</si>
  <si>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</si>
  <si>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</si>
  <si>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</si>
  <si>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</si>
  <si>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</si>
  <si>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</si>
  <si>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</si>
  <si>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</si>
  <si>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</si>
  <si>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</si>
  <si>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</si>
  <si>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</si>
  <si>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</si>
  <si>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</si>
  <si>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</si>
  <si>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</si>
  <si>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</si>
  <si>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</si>
  <si>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</si>
  <si>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</si>
  <si>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</si>
  <si>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</si>
  <si>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</si>
  <si>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</si>
  <si>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</si>
  <si>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</si>
  <si>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</si>
  <si>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</si>
  <si>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</si>
  <si>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</si>
  <si>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</si>
  <si>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</si>
  <si>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</si>
  <si>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</si>
  <si>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</si>
  <si>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</si>
  <si>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</si>
  <si>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</si>
  <si>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</si>
  <si>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</si>
  <si>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</si>
  <si>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</si>
  <si>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</si>
  <si>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</si>
  <si>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</si>
  <si>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</si>
  <si>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</si>
  <si>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</si>
  <si>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</si>
  <si>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</si>
  <si>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</si>
  <si>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</si>
  <si>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</si>
  <si>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</si>
  <si>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</si>
  <si>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</si>
  <si>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</si>
  <si>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</si>
  <si>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</si>
  <si>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</si>
  <si>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</si>
  <si>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</si>
  <si>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</si>
  <si>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</si>
  <si>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</si>
  <si>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</si>
  <si>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</si>
  <si>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</si>
  <si>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</si>
  <si>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</si>
  <si>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</si>
  <si>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</si>
  <si>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</si>
  <si>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</si>
  <si>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</si>
  <si>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</si>
  <si>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</si>
  <si>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</si>
  <si>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</si>
  <si>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</si>
  <si>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</si>
  <si>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</si>
  <si>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</si>
  <si>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</si>
  <si>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</si>
  <si>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</si>
  <si>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</si>
  <si>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</si>
  <si>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</si>
  <si>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</si>
  <si>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</si>
  <si>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</si>
  <si>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</si>
  <si>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</si>
  <si>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</si>
  <si>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</si>
  <si>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</si>
  <si>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</si>
  <si>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</si>
  <si>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</si>
  <si>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</si>
  <si>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</si>
  <si>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</si>
  <si>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</si>
  <si>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</si>
  <si>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</si>
  <si>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</si>
  <si>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</si>
  <si>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</si>
  <si>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</si>
  <si>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</si>
  <si>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</si>
  <si>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</si>
  <si>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</si>
  <si>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</si>
  <si>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</si>
  <si>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</si>
  <si>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</si>
  <si>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</si>
  <si>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</si>
  <si>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</si>
  <si>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</si>
  <si>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</si>
  <si>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</si>
  <si>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</si>
  <si>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</si>
  <si>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</si>
  <si>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</si>
  <si>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</si>
  <si>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</si>
  <si>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</si>
  <si>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</si>
  <si>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</si>
  <si>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</si>
  <si>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</si>
  <si>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</si>
  <si>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</si>
  <si>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</si>
  <si>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</si>
  <si>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</si>
  <si>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</si>
  <si>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</si>
  <si>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</si>
  <si>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</si>
  <si>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</si>
  <si>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</si>
  <si>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</si>
  <si>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</si>
  <si>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</si>
  <si>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</si>
  <si>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</si>
  <si>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</si>
  <si>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</si>
  <si>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</si>
  <si>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</si>
  <si>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</si>
  <si>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</si>
  <si>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</si>
  <si>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</si>
  <si>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</si>
  <si>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</si>
  <si>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</si>
  <si>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</si>
  <si>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</si>
  <si>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</si>
  <si>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</si>
  <si>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</si>
  <si>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</si>
  <si>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</si>
  <si>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</si>
  <si>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</si>
  <si>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</si>
  <si>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</si>
  <si>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</si>
  <si>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</si>
  <si>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</si>
  <si>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</si>
  <si>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</si>
  <si>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</si>
  <si>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</si>
  <si>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</si>
  <si>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</si>
  <si>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</si>
  <si>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</si>
  <si>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</si>
  <si>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</si>
  <si>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</si>
  <si>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</si>
  <si>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</si>
  <si>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</si>
  <si>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</si>
  <si>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</si>
  <si>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</si>
  <si>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</si>
  <si>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</si>
  <si>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</si>
  <si>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</si>
  <si>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</si>
  <si>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</si>
  <si>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</si>
  <si>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</si>
  <si>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</si>
  <si>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</si>
  <si>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</si>
  <si>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</si>
  <si>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</si>
  <si>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</si>
  <si>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</si>
  <si>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</si>
  <si>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</si>
  <si>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</si>
  <si>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</si>
  <si>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</si>
  <si>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</si>
  <si>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</si>
  <si>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</si>
  <si>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</si>
  <si>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</si>
  <si>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</si>
  <si>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</si>
  <si>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</si>
  <si>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</si>
  <si>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</si>
  <si>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</si>
  <si>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</si>
  <si>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</si>
  <si>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</si>
  <si>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</si>
  <si>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</si>
  <si>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</si>
  <si>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</si>
  <si>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</si>
  <si>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</si>
  <si>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</si>
  <si>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</si>
  <si>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</si>
  <si>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</si>
  <si>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</si>
  <si>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</si>
  <si>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</si>
  <si>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</si>
  <si>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</si>
  <si>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</si>
  <si>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</si>
  <si>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</si>
  <si>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</si>
  <si>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</si>
  <si>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</si>
  <si>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</si>
  <si>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</si>
  <si>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</si>
  <si>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</si>
  <si>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</si>
  <si>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</si>
  <si>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</si>
  <si>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</si>
  <si>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</si>
  <si>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</si>
  <si>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</si>
  <si>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</si>
  <si>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</si>
  <si>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</si>
  <si>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</si>
  <si>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</si>
  <si>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</si>
  <si>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</si>
  <si>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</si>
  <si>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</si>
  <si>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</si>
  <si>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</si>
  <si>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Samothrace</t>
  </si>
  <si>
    <t>Steering Comitee:
- The Mayor of Samothrace 
- DAFNI (Network of Aegean Islands for Sustainability)
Work group:
- The energy representative of the municipality of Samothrace
- The technical department of the municipality of Samothrace
- DAFNI (Network of Aegean Islands for Sustainability)</t>
  </si>
  <si>
    <t>Staff:
- The energy representative of the municipality of Samothrace (1 person)
- The technical department of the municipality of Samothrace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</si>
  <si>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</si>
  <si>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</si>
  <si>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Samothrace's energy profile. The monitoring task will be taken over by the work group.</t>
  </si>
  <si>
    <t xml:space="preserve">The long-term vision of the municipality of Samothrace is to succeed into restricitng the rapidly increasing CO2 emissions of the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electricity imports from the mainland.
Main trends:
- The CO2 emissions for the island of Samothrace are expected to increase by 42%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</si>
  <si>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</si>
  <si>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</si>
  <si>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</si>
  <si>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</si>
  <si>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</si>
  <si>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</si>
  <si>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</si>
  <si>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</si>
  <si>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</si>
  <si>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</si>
  <si>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</si>
  <si>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</si>
  <si>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</si>
  <si>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</si>
  <si>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</si>
  <si>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Samothrace</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</si>
  <si>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</si>
  <si>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</si>
  <si>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</si>
  <si>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</si>
  <si>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</si>
  <si>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</si>
  <si>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</si>
  <si>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</si>
  <si>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</si>
  <si>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</si>
  <si>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</si>
  <si>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</si>
  <si>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Samothrace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</si>
  <si>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</si>
  <si>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</si>
  <si>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</si>
  <si>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</si>
  <si>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</si>
  <si>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</si>
  <si>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</si>
  <si>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</si>
  <si>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</si>
  <si>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</si>
  <si>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</si>
  <si>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</si>
  <si>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</si>
  <si>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</si>
  <si>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</si>
  <si>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</si>
  <si>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</si>
  <si>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</si>
  <si>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</si>
  <si>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Samothrace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</si>
  <si>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</si>
  <si>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</si>
  <si>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</si>
  <si>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Samothrace - Health centers - Hospital</t>
  </si>
  <si>
    <t>Increase to 30% the total space heating energy demand supplied from heat pumps by 2020 - Increase to 30% the total hot water energy demand supplied from solar thermal by 2020</t>
  </si>
  <si>
    <t>Municipality of Samothrace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</si>
  <si>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</si>
  <si>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</si>
  <si>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Samothrace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</si>
  <si>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</si>
  <si>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</si>
  <si>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Samothrace - Samothrace KTEL </t>
  </si>
  <si>
    <t>Increase by 20% the energy efficiency of passenger transports by road by 2020 through the promotion of eco-driving practices.</t>
  </si>
  <si>
    <t>Municipality of Samothrace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</si>
  <si>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</si>
  <si>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</si>
  <si>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Samothrace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</si>
  <si>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</si>
  <si>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</si>
  <si>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</si>
  <si>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</si>
  <si>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</si>
  <si>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</si>
  <si>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</si>
  <si>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</si>
  <si>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Samothrace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</si>
</sst>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Samothrace</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1.149</v></c><c r="T7" s="194"><f>IF($A7=$A9,T9,T10)</f><v>-1.149</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1.149</v></c><c r="T9" s="225"><v>-1.149</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Samothrace</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7.2130904486418096E-2</v></c><c r="L8" s="211"><v>0.15642608547340459</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Samothrace</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2712</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4920.8023951035157</v></c><c r="D17" s="234"><v>0</v></c><c r="E17" s="234"><v>0</v></c><c r="F17" s="64"><v>4920.8023951035157</v></c><c r="G17" s="234"><v>0</v></c><c r="H17" s="234"><v>9311.781408812456</v></c><c r="I17" s="234"><v>0</v></c><c r="J17" s="234"><v>1034.5135535999998</v></c><c r="K17" s="234"><v>0</v></c><c r="L17" s="234"><v>0</v></c><c r="M17" s="64"><v>10346.294962412456</v></c><c r="N17" s="234"><v>0</v></c><c r="O17" s="234"><v>0</v></c><c r="P17" s="234"><v>758.37807021978165</v></c><c r="Q17" s="234"><v>0</v></c><c r="R17" s="234"><v>0</v></c><c r="S17" s="234"><v>2418.6997206659348</v></c><c r="T17" s="64"><v>3177.0777908857162</v></c><c r="U17" s="64"><v>18444.175148401686</v></c></row><row r="18" spans="1:21" s="21" customFormat="1" ht="15.75"><c r="A18" s="22"/><c r="B18" s="182" t="str"><f>Translation!A61</f><v>Hot water</v></c><c r="C18" s="154"><v>898.81845359381532</v></c><c r="D18" s="154"><v>0</v></c><c r="E18" s="154"><v>0</v></c><c r="F18" s="64"><v>898.81845359381532</v></c><c r="G18" s="154"><v>0</v></c><c r="H18" s="154"><v>733.09880121245556</v></c><c r="I18" s="154"><v>0</v></c><c r="J18" s="154"><v>0</v></c><c r="K18" s="154"><v>0</v></c><c r="L18" s="154"><v>0</v></c><c r="M18" s="64"><v>733.09880121245556</v></c><c r="N18" s="154"><v>0</v></c><c r="O18" s="154"><v>0</v></c><c r="P18" s="154"><v>758.37807021978165</v></c><c r="Q18" s="154"><v>0</v></c><c r="R18" s="154"><v>0</v></c><c r="S18" s="154"><v>227.51342106593449</v></c><c r="T18" s="64"><v>985.89149128571614</v></c><c r="U18" s="64"><v>2617.8087460919869</v></c></row><row r="19" spans="1:21" s="21" customFormat="1" ht="15.75"><c r="A19" s="22"/><c r="B19" s="182" t="str"><f>Translation!A62</f><v>Heating and cooling</v></c><c r="C19" s="154"><v>1364.7544566217009</v></c><c r="D19" s="154"><v>0</v></c><c r="E19" s="154"><v>0</v></c><c r="F19" s="64"><v>1364.7544566217009</v></c><c r="G19" s="154"><v>0</v></c><c r="H19" s="154"><v>8578.6826075999998</v></c><c r="I19" s="154"><v>0</v></c><c r="J19" s="154"><v>724.95909359999996</v></c><c r="K19" s="154"><v>0</v></c><c r="L19" s="154"><v>0</v></c><c r="M19" s="64"><v>9303.6417012000002</v></c><c r="N19" s="154"><v>0</v></c><c r="O19" s="154"><v>0</v></c><c r="P19" s="154"><v>0</v></c><c r="Q19" s="154"><v>0</v></c><c r="R19" s="154"><v>0</v></c><c r="S19" s="154"><v>1933.2242496000001</v></c><c r="T19" s="64"><v>1933.2242496000001</v></c><c r="U19" s="64"><v>12601.6204074217</v></c></row><row r="20" spans="1:21" s="21" customFormat="1" ht="15.75"><c r="A20" s="22"/><c r="B20" s="182" t="str"><f>Translation!A63</f><v>Lighting</v></c><c r="C20" s="154"><v>738.25806088800016</v></c><c r="D20" s="154"><v>0</v></c><c r="E20" s="154"><v>0</v></c><c r="F20" s="64"><v>738.25806088800016</v></c><c r="G20" s="154"><v>0</v></c><c r="H20" s="154"><v>0</v></c><c r="I20" s="154"><v>0</v></c><c r="J20" s="154"><v>0</v></c><c r="K20" s="154"><v>0</v></c><c r="L20" s="154"><v>0</v></c><c r="M20" s="64"><v>0</v></c><c r="N20" s="154"><v>0</v></c><c r="O20" s="154"><v>0</v></c><c r="P20" s="154"><v>0</v></c><c r="Q20" s="154"><v>0</v></c><c r="R20" s="154"><v>0</v></c><c r="S20" s="154"><v>0</v></c><c r="T20" s="64"><v>0</v></c><c r="U20" s="64"><v>738.25806088800016</v></c></row><row r="21" spans="1:21" s="21" customFormat="1" ht="15.75"><c r="A21" s="22"/><c r="B21" s="182" t="str"><f>Translation!A64</f><v>Cooking</v></c><c r="C21" s="154"><v>515.92409999999995</v></c><c r="D21" s="154"><v>0</v></c><c r="E21" s="154"><v>0</v></c><c r="F21" s="64"><v>515.92409999999995</v></c><c r="G21" s="154"><v>0</v></c><c r="H21" s="154"><v>0</v></c><c r="I21" s="154"><v>0</v></c><c r="J21" s="154"><v>309.55445999999995</v></c><c r="K21" s="154"><v>0</v></c><c r="L21" s="154"><v>0</v></c><c r="M21" s="64"><v>309.55445999999995</v></c><c r="N21" s="154"><v>0</v></c><c r="O21" s="154"><v>0</v></c><c r="P21" s="154"><v>0</v></c><c r="Q21" s="154"><v>0</v></c><c r="R21" s="154"><v>0</v></c><c r="S21" s="154"><v>257.96204999999998</v></c><c r="T21" s="64"><v>257.96204999999998</v></c><c r="U21" s="64"><v>1083.4406099999999</v></c></row><row r="22" spans="1:21" s="21" customFormat="1" ht="15.75"><c r="A22" s="22"/><c r="B22" s="182" t="str"><f>Translation!A65</f><v>Refrigerator and freezers</v></c><c r="C22" s="154"><v>724.10400000000004</v></c><c r="D22" s="154"><v>0</v></c><c r="E22" s="154"><v>0</v></c><c r="F22" s="64"><v>724.10400000000004</v></c><c r="G22" s="154"><v>0</v></c><c r="H22" s="154"><v>0</v></c><c r="I22" s="154"><v>0</v></c><c r="J22" s="154"><v>0</v></c><c r="K22" s="154"><v>0</v></c><c r="L22" s="154"><v>0</v></c><c r="M22" s="64"><v>0</v></c><c r="N22" s="154"><v>0</v></c><c r="O22" s="154"><v>0</v></c><c r="P22" s="154"><v>0</v></c><c r="Q22" s="154"><v>0</v></c><c r="R22" s="154"><v>0</v></c><c r="S22" s="154"><v>0</v></c><c r="T22" s="64"><v>0</v></c><c r="U22" s="64"><v>724.10400000000004</v></c></row><row r="23" spans="1:21" s="21" customFormat="1" ht="15.75"><c r="A23" s="22"/><c r="B23" s="182" t="str"><f>Translation!A66</f><v>Laundry machines and dryers</v></c><c r="C23" s="154"><v>44.07</v></c><c r="D23" s="154"><v>0</v></c><c r="E23" s="154"><v>0</v></c><c r="F23" s="64"><v>44.07</v></c><c r="G23" s="154"><v>0</v></c><c r="H23" s="154"><v>0</v></c><c r="I23" s="154"><v>0</v></c><c r="J23" s="154"><v>0</v></c><c r="K23" s="154"><v>0</v></c><c r="L23" s="154"><v>0</v></c><c r="M23" s="64"><v>0</v></c><c r="N23" s="154"><v>0</v></c><c r="O23" s="154"><v>0</v></c><c r="P23" s="154"><v>0</v></c><c r="Q23" s="154"><v>0</v></c><c r="R23" s="154"><v>0</v></c><c r="S23" s="154"><v>0</v></c><c r="T23" s="64"><v>0</v></c><c r="U23" s="64"><v>44.07</v></c></row><row r="24" spans="1:21" s="21" customFormat="1" ht="15.75"><c r="A24" s="22"/><c r="B24" s="182" t="str"><f>Translation!A67</f><v>Dish washing</v></c><c r="C24" s="154"><v>61.697999999999993</v></c><c r="D24" s="154"><v>0</v></c><c r="E24" s="154"><v>0</v></c><c r="F24" s="64"><v>61.697999999999993</v></c><c r="G24" s="154"><v>0</v></c><c r="H24" s="154"><v>0</v></c><c r="I24" s="154"><v>0</v></c><c r="J24" s="154"><v>0</v></c><c r="K24" s="154"><v>0</v></c><c r="L24" s="154"><v>0</v></c><c r="M24" s="64"><v>0</v></c><c r="N24" s="154"><v>0</v></c><c r="O24" s="154"><v>0</v></c><c r="P24" s="154"><v>0</v></c><c r="Q24" s="154"><v>0</v></c><c r="R24" s="154"><v>0</v></c><c r="S24" s="154"><v>0</v></c><c r="T24" s="64"><v>0</v></c><c r="U24" s="64"><v>61.697999999999993</v></c></row><row r="25" spans="1:21" s="21" customFormat="1" ht="15.75"><c r="A25" s="22"/><c r="B25" s="182" t="str"><f>Translation!A68</f><v>Tv sets</v></c><c r="C25" s="154"><v>57.3249</v></c><c r="D25" s="154"><v>0</v></c><c r="E25" s="154"><v>0</v></c><c r="F25" s="64"><v>57.3249</v></c><c r="G25" s="154"><v>0</v></c><c r="H25" s="154"><v>0</v></c><c r="I25" s="154"><v>0</v></c><c r="J25" s="154"><v>0</v></c><c r="K25" s="154"><v>0</v></c><c r="L25" s="154"><v>0</v></c><c r="M25" s="64"><v>0</v></c><c r="N25" s="154"><v>0</v></c><c r="O25" s="154"><v>0</v></c><c r="P25" s="154"><v>0</v></c><c r="Q25" s="154"><v>0</v></c><c r="R25" s="154"><v>0</v></c><c r="S25" s="154"><v>0</v></c><c r="T25" s="64"><v>0</v></c><c r="U25" s="64"><v>57.3249</v></c></row><row r="26" spans="1:21" s="21" customFormat="1" ht="15.75"><c r="A26" s="22"/><c r="B26" s="182" t="str"><f>Translation!A69</f><v>Other electric appliances</v></c><c r="C26" s="154"><v>515.85042399999963</v></c><c r="D26" s="154"><v>0</v></c><c r="E26" s="154"><v>0</v></c><c r="F26" s="64"><v>515.85042399999963</v></c><c r="G26" s="154"><v>0</v></c><c r="H26" s="154"><v>0</v></c><c r="I26" s="154"><v>0</v></c><c r="J26" s="154"><v>0</v></c><c r="K26" s="154"><v>0</v></c><c r="L26" s="154"><v>0</v></c><c r="M26" s="64"><v>0</v></c><c r="N26" s="154"><v>0</v></c><c r="O26" s="154"><v>0</v></c><c r="P26" s="154"><v>0</v></c><c r="Q26" s="154"><v>0</v></c><c r="R26" s="154"><v>0</v></c><c r="S26" s="154"><v>0</v></c><c r="T26" s="64"><v>0</v></c><c r="U26" s="64"><v>515.85042399999963</v></c></row><row r="27" spans="1:21" s="21" customFormat="1" ht="15.75"><c r="A27" s="22"/><c r="B27" s="66" t="str"><f>Translation!A70</f><v>PRIMARY SECTOR</v></c><c r="C27" s="234"><v>768.10350490597386</v></c><c r="D27" s="234"><v>0</v></c><c r="E27" s="234"><v>0</v></c><c r="F27" s="64"><v>768.10350490597386</v></c><c r="G27" s="234"><v>0</v></c><c r="H27" s="234"><v>139.0557368162294</v></c><c r="I27" s="234"><v>0</v></c><c r="J27" s="234"><v>0</v></c><c r="K27" s="234"><v>0</v></c><c r="L27" s="234"><v>0</v></c><c r="M27" s="64"><v>139.0557368162294</v></c><c r="N27" s="234"><v>0</v></c><c r="O27" s="234"><v>0</v></c><c r="P27" s="234"><v>0</v></c><c r="Q27" s="234"><v>0</v></c><c r="R27" s="234"><v>0</v></c><c r="S27" s="234"><v>158.74912294657335</v></c><c r="T27" s="64"><v>158.74912294657335</v></c><c r="U27" s="64"><v>1065.9083646687766</v></c></row><row r="28" spans="1:21" s="21" customFormat="1" ht="15.75"><c r="A28" s="22"/><c r="B28" s="183" t="str"><f>Translation!A71</f><v>Agriculture, forestry and fishing</v></c><c r="C28" s="154"><v>768.10350490597386</v></c><c r="D28" s="154"><v>0</v></c><c r="E28" s="154"><v>0</v></c><c r="F28" s="64"><v>768.10350490597386</v></c><c r="G28" s="154"><v>0</v></c><c r="H28" s="154"><v>139.0557368162294</v></c><c r="I28" s="154"><v>0</v></c><c r="J28" s="154"><v>0</v></c><c r="K28" s="154"><v>0</v></c><c r="L28" s="154"><v>0</v></c><c r="M28" s="64"><v>139.0557368162294</v></c><c r="N28" s="154"><v>0</v></c><c r="O28" s="154"><v>0</v></c><c r="P28" s="154"><v>0</v></c><c r="Q28" s="154"><v>0</v></c><c r="R28" s="154"><v>0</v></c><c r="S28" s="154"><v>158.74912294657335</v></c><c r="T28" s="64"><v>158.74912294657335</v></c><c r="U28" s="64"><v>1065.9083646687766</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419.89658268193244</v></c><c r="D30" s="234"><v>0</v></c><c r="E30" s="234"><v>0</v></c><c r="F30" s="64"><v>419.89658268193244</v></c><c r="G30" s="234"><v>143.05652250189189</v></c><c r="H30" s="234"><v>149.52346119033356</v></c><c r="I30" s="234"><v>0</v></c><c r="J30" s="234"><v>10.061050417080628</v></c><c r="K30" s="234"><v>0</v></c><c r="L30" s="234"><v>0</v></c><c r="M30" s="64"><v>302.64103410930613</v></c><c r="N30" s="234"><v>0</v></c><c r="O30" s="234"><v>0</v></c><c r="P30" s="234"><v>5.662889142906419</v></c><c r="Q30" s="234"><v>0</v></c><c r="R30" s="234"><v>0</v></c><c r="S30" s="234"><v>15.490087348937141</v></c><c r="T30" s="64"><v>21.15297649184356</v></c><c r="U30" s="64"><v>743.69059328308219</v></c></row><row r="31" spans="1:21" s="21" customFormat="1" ht="15.75"><c r="A31" s="22"/><c r="B31" s="183" t="str"><f>Translation!A74</f><v>Manufacturing</v></c><c r="C31" s="154"><v>128.01725081766233</v></c><c r="D31" s="154"><v>0</v></c><c r="E31" s="154"><v>0</v></c><c r="F31" s="64"><v>128.01725081766233</v></c><c r="G31" s="154"><v>71.528261250945945</v></c><c r="H31" s="154"><v>74.761730595166782</v></c><c r="I31" s="154"><v>0</v></c><c r="J31" s="154"><v>10.061050417080628</v></c><c r="K31" s="154"><v>0</v></c><c r="L31" s="154"><v>0</v></c><c r="M31" s="64"><v>156.35104226319336</v></c><c r="N31" s="154"><v>0</v></c><c r="O31" s="154"><v>0</v></c><c r="P31" s="154"><v>5.662889142906419</v></c><c r="Q31" s="154"><v>0</v></c><c r="R31" s="154"><v>0</v></c><c r="S31" s="154"><v>15.490087348937141</v></c><c r="T31" s="64"><v>21.15297649184356</v></c><c r="U31" s="64"><v>305.52126957269923</v></c></row><row r="32" spans="1:21" s="21" customFormat="1" ht="30"><c r="A32" s="22"/><c r="B32" s="183" t="str"><f>Translation!A75</f><v>Water supply, sewerage, waste management and remediation activities</v></c><c r="C32" s="154"><v>163.86208104660778</v></c><c r="D32" s="154"><v>0</v></c><c r="E32" s="154"><v>0</v></c><c r="F32" s="64"><v>163.86208104660778</v></c><c r="G32" s="154"><v>0</v></c><c r="H32" s="154"><v>0</v></c><c r="I32" s="154"><v>0</v></c><c r="J32" s="154"><v>0</v></c><c r="K32" s="154"><v>0</v></c><c r="L32" s="154"><v>0</v></c><c r="M32" s="64"><v>0</v></c><c r="N32" s="154"><v>0</v></c><c r="O32" s="154"><v>0</v></c><c r="P32" s="154"><v>0</v></c><c r="Q32" s="154"><v>0</v></c><c r="R32" s="154"><v>0</v></c><c r="S32" s="154"><v>0</v></c><c r="T32" s="64"><v>0</v></c><c r="U32" s="64"><v>163.86208104660778</v></c></row><row r="33" spans="1:21" s="21" customFormat="1" ht="15.75"><c r="A33" s="22"/><c r="B33" s="183" t="str"><f>Translation!A76</f><v>Construction</v></c><c r="C33" s="154"><v>128.01725081766233</v></c><c r="D33" s="154"><v>0</v></c><c r="E33" s="154"><v>0</v></c><c r="F33" s="64"><v>128.01725081766233</v></c><c r="G33" s="154"><v>71.528261250945945</v></c><c r="H33" s="154"><v>74.761730595166782</v></c><c r="I33" s="154"><v>0</v></c><c r="J33" s="154"><v>0</v></c><c r="K33" s="154"><v>0</v></c><c r="L33" s="154"><v>0</v></c><c r="M33" s="64"><v>146.28999184611274</v></c><c r="N33" s="154"><v>0</v></c><c r="O33" s="154"><v>0</v></c><c r="P33" s="154"><v>0</v></c><c r="Q33" s="154"><v>0</v></c><c r="R33" s="154"><v>0</v></c><c r="S33" s="154"><v>0</v></c><c r="T33" s="64"><v>0</v></c><c r="U33" s="64"><v>274.30724266377507</v></c></row><row r="34" spans="1:21" s="21" customFormat="1" ht="15.75"><c r="A34" s="22"/><c r="B34" s="61" t="str"><f>Translation!A77</f><v>TERTIARY SECTOR</v></c><c r="C34" s="234"><v>6004.5608090731048</v></c><c r="D34" s="234"><v>0</v></c><c r="E34" s="234"><v>0</v></c><c r="F34" s="64"><v>6004.5608090731048</v></c><c r="G34" s="234"><v>0</v></c><c r="H34" s="234"><v>3312.3978777484203</v></c><c r="I34" s="234"><v>0</v></c><c r="J34" s="234"><v>92.209815581896549</v></c><c r="K34" s="234"><v>0</v></c><c r="L34" s="234"><v>0</v></c><c r="M34" s="64"><v>3404.607693330317</v></c><c r="N34" s="234"><v>0</v></c><c r="O34" s="234"><v>0</v></c><c r="P34" s="234"><v>321.31023110102888</v></c><c r="Q34" s="234"><v>0</v></c><c r="R34" s="234"><v>0</v></c><c r="S34" s="234"><v>50.641179315531609</v></c><c r="T34" s="64"><v>371.95141041656046</v></c><c r="U34" s="64"><v>9781.1199128199823</v></c></row><row r="35" spans="1:21" s="21" customFormat="1" ht="30"><c r="A35" s="22"/><c r="B35" s="183" t="str"><f>Translation!A78</f><v xml:space="preserve">Wholesale and retail trade; repair of motor vehicles and motorcycles </v></c><c r="C35" s="154"><v>1532.2995134470059</v></c><c r="D35" s="154"><v>0</v></c><c r="E35" s="154"><v>0</v></c><c r="F35" s="64"><v>1532.2995134470059</v></c><c r="G35" s="154"><v>0</v></c><c r="H35" s="154"><v>1096.3713715735132</v></c><c r="I35" s="154"><v>0</v></c><c r="J35" s="154"><v>0</v></c><c r="K35" s="154"><v>0</v></c><c r="L35" s="154"><v>0</v></c><c r="M35" s="64"><v>1096.3713715735132</v></c><c r="N35" s="154"><v>0</v></c><c r="O35" s="154"><v>0</v></c><c r="P35" s="154"><v>77.993936689113355</v></c><c r="Q35" s="154"><v>0</v></c><c r="R35" s="154"><v>0</v></c><c r="S35" s="154"><v>0</v></c><c r="T35" s="64"><v>77.993936689113355</v></c><c r="U35" s="64"><v>2706.6648217096326</v></c></row><row r="36" spans="1:21" s="21" customFormat="1" ht="15.75"><c r="A36" s="22"/><c r="B36" s="183" t="str"><f>Translation!A79</f><v>Accommodation and food service activities</v></c><c r="C36" s="154"><v>3262.5150992819417</v></c><c r="D36" s="154"><v>0</v></c><c r="E36" s="154"><v>0</v></c><c r="F36" s="64"><v>3262.5150992819417</v></c><c r="G36" s="154"><v>0</v></c><c r="H36" s="154"><v>1589.7226667185951</v></c><c r="I36" s="154"><v>0</v></c><c r="J36" s="154"><v>92.209815581896549</v></c><c r="K36" s="154"><v>0</v></c><c r="L36" s="154"><v>0</v></c><c r="M36" s="64"><v>1681.9324823004915</v></c><c r="N36" s="154"><v>0</v></c><c r="O36" s="154"><v>0</v></c><c r="P36" s="154"><v>224.59774960652834</v></c><c r="Q36" s="154"><v>0</v></c><c r="R36" s="154"><v>0</v></c><c r="S36" s="154"><v>50.641179315531609</v></c><c r="T36" s="64"><v>275.23892892205993</v></c><c r="U36" s="64"><v>5219.6865105044935</v></c></row><row r="37" spans="1:21" s="21" customFormat="1" ht="15.75"><c r="A37" s="22"/><c r="B37" s="183" t="str"><f>Translation!A80</f><v>General public administration and social security</v></c><c r="C37" s="154"><v>401.84694739709948</v></c><c r="D37" s="154"><v>0</v></c><c r="E37" s="154"><v>0</v></c><c r="F37" s="64"><v>401.84694739709948</v></c><c r="G37" s="154"><v>0</v></c><c r="H37" s="154"><v>115.58829575377599</v></c><c r="I37" s="154"><v>0</v></c><c r="J37" s="154"><v>0</v></c><c r="K37" s="154"><v>0</v></c><c r="L37" s="154"><v>0</v></c><c r="M37" s="64"><v>115.58829575377599</v></c><c r="N37" s="154"><v>0</v></c><c r="O37" s="154"><v>0</v></c><c r="P37" s="154"><v>0</v></c><c r="Q37" s="154"><v>0</v></c><c r="R37" s="154"><v>0</v></c><c r="S37" s="154"><v>0</v></c><c r="T37" s="64"><v>0</v></c><c r="U37" s="64"><v>517.43524315087552</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231.01077229980046</v></c><c r="D39" s="154"><v>0</v></c><c r="E39" s="154"><v>0</v></c><c r="F39" s="64"><v>231.01077229980046</v></c><c r="G39" s="154"><v>0</v></c><c r="H39" s="154"><v>230.32894400535764</v></c><c r="I39" s="154"><v>0</v></c><c r="J39" s="154"><v>0</v></c><c r="K39" s="154"><v>0</v></c><c r="L39" s="154"><v>0</v></c><c r="M39" s="64"><v>230.32894400535764</v></c><c r="N39" s="154"><v>0</v></c><c r="O39" s="154"><v>0</v></c><c r="P39" s="154"><v>0</v></c><c r="Q39" s="154"><v>0</v></c><c r="R39" s="154"><v>0</v></c><c r="S39" s="154"><v>0</v></c><c r="T39" s="64"><v>0</v></c><c r="U39" s="64"><v>461.33971630515811</v></c></row><row r="40" spans="1:21" s="21" customFormat="1" ht="15.75"><c r="A40" s="22"/><c r="B40" s="183" t="str"><f>Translation!A83</f><v>Human health and social work activities</v></c><c r="C40" s="154"><v>17.110717193481772</v></c><c r="D40" s="154"><v>0</v></c><c r="E40" s="154"><v>0</v></c><c r="F40" s="64"><v>17.110717193481772</v></c><c r="G40" s="154"><v>0</v></c><c r="H40" s="154"><v>17.257470519535353</v></c><c r="I40" s="154"><v>0</v></c><c r="J40" s="154"><v>0</v></c><c r="K40" s="154"><v>0</v></c><c r="L40" s="154"><v>0</v></c><c r="M40" s="64"><v>17.257470519535353</v></c><c r="N40" s="154"><v>0</v></c><c r="O40" s="154"><v>0</v></c><c r="P40" s="154"><v>0</v></c><c r="Q40" s="154"><v>0</v></c><c r="R40" s="154"><v>0</v></c><c r="S40" s="154"><v>0</v></c><c r="T40" s="64"><v>0</v></c><c r="U40" s="64"><v>34.368187713017122</v></c></row><row r="41" spans="1:21" s="21" customFormat="1" ht="15.75"><c r="A41" s="22"/><c r="B41" s="183" t="str"><f>Translation!A84</f><v>Other services</v></c><c r="C41" s="154"><v>367.75188322728144</v></c><c r="D41" s="154"><v>0</v></c><c r="E41" s="154"><v>0</v></c><c r="F41" s="64"><v>367.75188322728144</v></c><c r="G41" s="154"><v>0</v></c><c r="H41" s="154"><v>263.12912917764322</v></c><c r="I41" s="154"><v>0</v></c><c r="J41" s="154"><v>0</v></c><c r="K41" s="154"><v>0</v></c><c r="L41" s="154"><v>0</v></c><c r="M41" s="64"><v>263.12912917764322</v></c><c r="N41" s="154"><v>0</v></c><c r="O41" s="154"><v>0</v></c><c r="P41" s="154"><v>18.718544805387207</v></c><c r="Q41" s="154"><v>0</v></c><c r="R41" s="154"><v>0</v></c><c r="S41" s="154"><v>0</v></c><c r="T41" s="64"><v>18.718544805387207</v></c><c r="U41" s="64"><v>649.59955721031179</v></c></row><row r="42" spans="1:21" s="21" customFormat="1" ht="15.75"><c r="A42" s="22"/><c r="B42" s="183" t="str"><f>Translation!A85</f><v>Public lighting</v></c><c r="C42" s="154"><v>192.02587622649347</v></c><c r="D42" s="154"><v>0</v></c><c r="E42" s="154"><v>0</v></c><c r="F42" s="64"><v>192.02587622649347</v></c><c r="G42" s="154"><v>0</v></c><c r="H42" s="154"><v>0</v></c><c r="I42" s="154"><v>0</v></c><c r="J42" s="154"><v>0</v></c><c r="K42" s="154"><v>0</v></c><c r="L42" s="154"><v>0</v></c><c r="M42" s="64"><v>0</v></c><c r="N42" s="154"><v>0</v></c><c r="O42" s="154"><v>0</v></c><c r="P42" s="154"><v>0</v></c><c r="Q42" s="154"><v>0</v></c><c r="R42" s="154"><v>0</v></c><c r="S42" s="154"><v>0</v></c><c r="T42" s="64"><v>0</v></c><c r="U42" s="64"><v>192.02587622649347</v></c></row><row r="43" spans="1:21" s="21" customFormat="1" ht="15.75"><c r="A43" s="22"/><c r="B43" s="61" t="str"><f>Translation!A86</f><v>TRANSPORTS</v></c><c r="C43" s="234"><v>0</v></c><c r="D43" s="234"><v>0</v></c><c r="E43" s="234"><v>0</v></c><c r="F43" s="64"><v>0</v></c><c r="G43" s="234"><v>0</v></c><c r="H43" s="234"><v>1233.4953245057443</v></c><c r="I43" s="234"><v>1786.7654822919853</v></c><c r="J43" s="234"><v>0</v></c><c r="K43" s="234"><v>0</v></c><c r="L43" s="234"><v>0</v></c><c r="M43" s="64"><v>3020.2608067977299</v></c><c r="N43" s="234"><v>0</v></c><c r="O43" s="234"><v>0</v></c><c r="P43" s="234"><v>0</v></c><c r="Q43" s="234"><v>0</v></c><c r="R43" s="234"><v>0</v></c><c r="S43" s="234"><v>0</v></c><c r="T43" s="64"><v>0</v></c><c r="U43" s="64"><v>3020.2608067977299</v></c></row><row r="44" spans="1:21" s="21" customFormat="1" ht="30"><c r="A44" s="22"/><c r="B44" s="183" t="str"><f>Translation!A87</f><v>Passenger transport by road (public transport, taxi, tourism, transfers, etc.)</v></c><c r="C44" s="154"><v>0</v></c><c r="D44" s="154"><v>0</v></c><c r="E44" s="154"><v>0</v></c><c r="F44" s="64"><v>0</v></c><c r="G44" s="154"><v>0</v></c><c r="H44" s="154"><v>8.9303376327962152</v></c><c r="I44" s="154"><v>2.0591797939700012</v></c><c r="J44" s="154"><v>0</v></c><c r="K44" s="154"><v>0</v></c><c r="L44" s="154"><v>0</v></c><c r="M44" s="64"><v>10.989517426766216</v></c><c r="N44" s="154"><v>0</v></c><c r="O44" s="154"><v>0</v></c><c r="P44" s="154"><v>0</v></c><c r="Q44" s="154"><v>0</v></c><c r="R44" s="154"><v>0</v></c><c r="S44" s="154"><v>0</v></c><c r="T44" s="64"><v>0</v></c><c r="U44" s="64"><v>10.989517426766216</v></c></row><row r="45" spans="1:21" s="21" customFormat="1" ht="15.75"><c r="A45" s="22"/><c r="B45" s="183" t="str"><f>Translation!A88</f><v>Freight transport by road and removal services</v></c><c r="C45" s="154"><v>0</v></c><c r="D45" s="154"><v>0</v></c><c r="E45" s="154"><v>0</v></c><c r="F45" s="64"><v>0</v></c><c r="G45" s="154"><v>0</v></c><c r="H45" s="154"><v>861.7775815648348</v></c><c r="I45" s="154"><v>198.7108501181051</v></c><c r="J45" s="154"><v>0</v></c><c r="K45" s="154"><v>0</v></c><c r="L45" s="154"><v>0</v></c><c r="M45" s="64"><v>1060.4884316829398</v></c><c r="N45" s="154"><v>0</v></c><c r="O45" s="154"><v>0</v></c><c r="P45" s="154"><v>0</v></c><c r="Q45" s="154"><v>0</v></c><c r="R45" s="154"><v>0</v></c><c r="S45" s="154"><v>0</v></c><c r="T45" s="64"><v>0</v></c><c r="U45" s="64"><v>1060.4884316829398</v></c></row><row r="46" spans="1:21" s="21" customFormat="1" ht="15.75"><c r="A46" s="22"/><c r="B46" s="183" t="str"><f>Translation!A89</f><v>Other fleet for public and private services</v></c><c r="C46" s="154"><v>0</v></c><c r="D46" s="154"><v>0</v></c><c r="E46" s="154"><v>0</v></c><c r="F46" s="64"><v>0</v></c><c r="G46" s="154"><v>0</v></c><c r="H46" s="154"><v>5.3465071398741415</v></c><c r="I46" s="154"><v>64.048675614172382</v></c><c r="J46" s="154"><v>0</v></c><c r="K46" s="154"><v>0</v></c><c r="L46" s="154"><v>0</v></c><c r="M46" s="64"><v>69.395182754046516</v></c><c r="N46" s="154"><v>0</v></c><c r="O46" s="154"><v>0</v></c><c r="P46" s="154"><v>0</v></c><c r="Q46" s="154"><v>0</v></c><c r="R46" s="154"><v>0</v></c><c r="S46" s="154"><v>0</v></c><c r="T46" s="64"><v>0</v></c><c r="U46" s="64"><v>69.395182754046516</v></c></row><row r="47" spans="1:21" s="21" customFormat="1" ht="15.75"><c r="A47" s="22"/><c r="B47" s="182" t="str"><f>Translation!A90</f><v>Private transports</v></c><c r="C47" s="154"><v>0</v></c><c r="D47" s="154"><v>0</v></c><c r="E47" s="154"><v>0</v></c><c r="F47" s="64"><v>0</v></c><c r="G47" s="154"><v>0</v></c><c r="H47" s="154"><v>357.44089816823924</v></c><c r="I47" s="154"><v>1521.9467767657379</v></c><c r="J47" s="154"><v>0</v></c><c r="K47" s="154"><v>0</v></c><c r="L47" s="154"><v>0</v></c><c r="M47" s="64"><v>1879.3876749339772</v></c><c r="N47" s="154"><v>0</v></c><c r="O47" s="154"><v>0</v></c><c r="P47" s="154"><v>0</v></c><c r="Q47" s="154"><v>0</v></c><c r="R47" s="154"><v>0</v></c><c r="S47" s="154"><v>0</v></c><c r="T47" s="64"><v>0</v></c><c r="U47" s="64"><v>1879.3876749339772</v></c></row><row r="48" spans="1:21" s="21" customFormat="1" ht="15.75"><c r="A48" s="22"/><c r="B48" s="73" t="str"><f>Translation!A118</f><v>TOTAL FOR INTERNAL MARKET</v></c><c r="C48" s="149"><v>12113.363291764526</v></c><c r="D48" s="149"><v>0</v></c><c r="E48" s="149"><v>0</v></c><c r="F48" s="64"><v>12113.363291764526</v></c><c r="G48" s="65"><v>143.05652250189189</v></c><c r="H48" s="65"><v>14146.253809073185</v></c><c r="I48" s="65"><v>1786.7654822919853</v></c><c r="J48" s="65"><v>1136.7844195989769</v></c><c r="K48" s="65"><v>0</v></c><c r="L48" s="65"><v>0</v></c><c r="M48" s="64"><v>17212.860233466039</v></c><c r="N48" s="65"><v>0</v></c><c r="O48" s="65"><v>0</v></c><c r="P48" s="65"><v>1085.3511904637171</v></c><c r="Q48" s="65"><v>0</v></c><c r="R48" s="65"><v>0</v></c><c r="S48" s="65"><v>2643.5801102769769</v></c><c r="T48" s="64"><v>3728.931300740694</v></c><c r="U48" s="64"><v>33055.154825971258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0</v></c><c r="D59" s="235"><v>0</v></c><c r="E59" s="235"><v>0</v></c><c r="F59" s="235"><v>0</v></c><c r="G59" s="235"><v>0</v></c><c r="H59" s="235"><v>0</v></c><c r="I59" s="59"><v>0</v></c><c r="J59" s="235"><v>0</v></c><c r="K59" s="235"><v>0</v></c><c r="L59" s="235"><v>0</v></c><c r="M59" s="235"><v>0</v></c><c r="N59" s="235"><v>0</v></c><c r="O59" s="235"><v>0</v></c><c r="P59" s="235"><v>0</v></c><c r="Q59" s="235"/><c r="R59" s="59"><v>0</v></c><c r="S59" s="59"><v>0</v></c><c r="T59" s="235"><v>0</v></c><c r="U59" s="235"><v>0</v></c><c r="V59" s="59"><v>0</v></c><c r="W59" s="235"><v>0</v></c><c r="X59" s="235"><v>0</v></c><c r="Y59" s="235"><v>12618.086762254716</v></c><c r="Z59" s="235"><v>0</v></c><c r="AA59" s="186"><v>0</v></c><c r="AB59" s="59"><v>12618.086762254716</v></c><c r="AC59" s="64"><v>12618.086762254716</v></c><c r="AD59" s="187"><v>504.72347049018936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0</v></c><c r="L62" s="53"><f t="shared" si="0"/><v>0</v></c><c r="M62" s="53"><f t="shared" si="0"/><v>0</v></c><c r="N62" s="53"><f t="shared" si="0"/><v>0</v></c><c r="O62" s="53"><f t="shared" si="0"/><v>0</v></c><c r="P62" s="53"><f t="shared" si="0"/><v>0</v></c><c r="Q62" s="53"><f t="shared" si="0"/><v>0</v></c><c r="R62" s="53"><f t="shared" si="0"/><v>0</v></c><c r="S62" s="53"><f t="shared" si="0"/><v>0</v></c><c r="T62" s="53"><f t="shared" si="0"/><v>0</v></c><c r="U62" s="53"><f t="shared" si="0"/><v>0</v></c><c r="V62" s="53"><f t="shared" si="0"/><v>0</v></c><c r="W62" s="53"><f t="shared" si="0"/><v>0</v></c><c r="X62" s="53"><f t="shared" si="0"/><v>0</v></c><c r="Y62" s="53"><f t="shared" si="0"/><v>12618.086762254716</v></c><c r="Z62" s="53"><f t="shared" si="0"/><v>0</v></c><c r="AA62" s="53"><f t="shared" si="0"/><v>0</v></c><c r="AB62" s="53"><f t="shared" si="0"/><v>12618.086762254716</v></c><c r="AC62" s="53"><f t="shared" si="0"/><v>12618.086762254716</v></c><c r="AD62" s="53"><f t="shared" si="0"/><v>504.72347049018936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0</v></c><c r="D69" s="235"><v>0</v></c><c r="E69" s="235"><v>0</v></c><c r="F69" s="235"><v>0</v></c><c r="G69" s="235"><v>0</v></c><c r="H69" s="235"><v>0</v></c><c r="I69" s="59"><v>0</v></c><c r="J69" s="185"><v>0</v></c><c r="K69" s="185"><v>0</v></c><c r="L69" s="185"><v>0</v></c><c r="M69" s="185"><v>0</v></c><c r="N69" s="185"><v>0</v></c><c r="O69" s="235"><v>0</v></c><c r="P69" s="185"><v>0</v></c><c r="Q69" s="185"/><c r="R69" s="59"><v>0</v></c><c r="S69" s="59"><v>0</v></c><c r="T69" s="71"><v>0</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0</v></c><c r="L72" s="53"><f t="shared" si="1"/><v>0</v></c><c r="M72" s="53"><f t="shared" si="1"/><v>0</v></c><c r="N72" s="53"><f t="shared" si="1"/><v>0</v></c><c r="O72" s="53"><f t="shared" si="1"/><v>0</v></c><c r="P72" s="53"><f t="shared" si="1"/><v>0</v></c><c r="Q72" s="53"><f t="shared" si="1"/><v>0</v></c><c r="R72" s="53"><f t="shared" si="1"/><v>0</v></c><c r="S72" s="53"><f t="shared" si="1"/><v>0</v></c><c r="T72" s="71"><f>S72-AC62+AB62</f><v>0</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143.05652250189189</v></c><c r="D79" s="186"><f t="shared" si="2"/><v>14146.253809073185</v></c><c r="E79" s="186"><f t="shared" si="2"/><v>1786.7654822919853</v></c><c r="F79" s="186"><f t="shared" si="2"/><v>1136.7844195989769</v></c><c r="G79" s="186"><f t="shared" si="2"/><v>0</v></c><c r="H79" s="186"><f t="shared" si="2"/><v>0</v></c><c r="I79" s="53"><f>SUM(C79:H79)</f><v>17212.860233466039</v></c><c r="J79" s="186"><f t="shared" ref="J79:O79" si="3">N48+J72</f><v>0</v></c><c r="K79" s="186"><f t="shared" si="3"/><v>0</v></c><c r="L79" s="186"><f t="shared" si="3"/><v>1085.3511904637171</v></c><c r="M79" s="186"><f t="shared" si="3"/><v>0</v></c><c r="N79" s="186"><f t="shared" si="3"/><v>0</v></c><c r="O79" s="186"><f t="shared" si="3"/><v>2643.5801102769769</v></c><c r="P79" s="186"><f>P72</f><v>0</v></c><c r="Q79" s="186"><f>Q72</f><v>0</v></c><c r="R79" s="53"><f>SUM(J79:Q79)</f><v>3728.931300740694</v></c><c r="S79" s="186"><f>Y62</f><v>12618.086762254716</v></c><c r="T79" s="186"><f>Z62</f><v>0</v></c><c r="U79" s="186"><f>$C$49+$C$50+$C$51</f><v>0</v></c><c r="V79" s="53"><f>S79-T79-U79</f><v>12618.086762254716</v></c><c r="W79" s="186"><f>$D$49+$D$50+$D$51</f><v>0</v></c><c r="X79" s="186"><f>$E$49+$E$50+$E$51</f><v>0</v></c><c r="Y79" s="53"><f>I79+R79+V79-W79-X79</f><v>33559.878296461451</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 t="str"><f t="shared" si="5"/><v>-</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5889.5853666395205</v></c><c r="D95" s="64"><f>SUM(D96:D104)</f><v>0</v></c><c r="E95" s="64"><f>SUM(E96:E104)</f><v>0</v></c><c r="F95" s="64"><f t="shared" ref="F95:F126" si="8">SUM(C95:E95)</f><v>5889.5853666395205</v></c><c r="G95" s="64"><f t="shared" ref="G95:L95" si="9">SUM(G96:G104)</f><v>0</v></c><c r="H95" s="64"><f t="shared" si="9"/><v>2486.2456361529257</v></c><c r="I95" s="64"><f t="shared" si="9"/><v>0</v></c><c r="J95" s="64"><f t="shared" si="9"/><v>248.28325286399996</v></c><c r="K95" s="64"><f t="shared" si="9"/><v>0</v></c><c r="L95" s="64"><f t="shared" si="9"/><v>0</v></c><c r="M95" s="64"><f t="shared" ref="M95:M126" si="10">SUM(G95:L95)</f><v>2734.5288890169259</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8624.1142556564464</v></c></row><row r="96" spans="1:32" s="21" customFormat="1" ht="15.75"><c r="A96" s="22"/><c r="B96" s="182" t="str"><f>Translation!A61</f><v>Hot water</v></c><c r="C96" s="185"><f t="shared" ref="C96:C104" si="14">IF(AND(C$48&gt;0,($S$133+$V$143)&gt;0), ($S$133+$V$143)/C$48,0)*C18</f><v>1075.7733366450977</v></c><c r="D96" s="185"><f t="shared" ref="D96:D104" si="15">IF(AND(D$48&gt;0,$S$134&gt;0), ($S$134)/D$48,0)*D18</f><v>0</v></c><c r="E96" s="185"><f t="shared" ref="E96:E104" si="16">IF(AND(E$48&gt;0,$S$135&gt;0), ($S$135)/E$48,0)*E18</f><v>0</v></c><c r="F96" s="64"><f t="shared" si="8"/><v>1075.7733366450977</v></c><c r="G96" s="185"><f>'CO2 factors'!C$7*G18</f><v>0</v></c><c r="H96" s="185"><f>'CO2 factors'!D$7*H18</f><v>195.73737992372565</v></c><c r="I96" s="185"><f>'CO2 factors'!E$7*I18</f><v>0</v></c><c r="J96" s="185"><f>'CO2 factors'!F$7*J18</f><v>0</v></c><c r="K96" s="185"><f>'CO2 factors'!G$7*K18</f><v>0</v></c><c r="L96" s="185"><f>'CO2 factors'!H$7*L18</f><v>0</v></c><c r="M96" s="64"><f t="shared" si="10"/><v>195.73737992372565</v></c><c r="N96" s="185"><f>'CO2 factors'!J$7*N18</f><v>0</v></c><c r="O96" s="185"><f>'CO2 factors'!K$7*O18</f><v>0</v></c><c r="P96" s="185"><f>'CO2 factors'!L$7*P18</f><v>0</v></c><c r="Q96" s="185"><f>'CO2 factors'!M$7*Q18</f><v>0</v></c><c r="R96" s="185"><f>'CO2 factors'!N$7*R18</f><v>0</v></c><c r="S96" s="185"><f>'CO2 factors'!O$7*S18</f><v>0</v></c><c r="T96" s="64"><f t="shared" si="12"/><v>0</v></c><c r="U96" s="64"><f t="shared" si="13"/><v>1271.5107165688235</v></c></row><row r="97" spans="1:21" s="21" customFormat="1" ht="15.75"><c r="A97" s="22"/><c r="B97" s="182" t="str"><f>Translation!A62</f><v>Heating and cooling</v></c><c r="C97" s="185"><f t="shared" si="14"/><v>1633.4404902690985</v></c><c r="D97" s="185"><f t="shared" si="15"/><v>0</v></c><c r="E97" s="185"><f t="shared" si="16"/><v>0</v></c><c r="F97" s="64"><f t="shared" si="8"/><v>1633.4404902690985</v></c><c r="G97" s="185"><f>'CO2 factors'!C$7*G19</f><v>0</v></c><c r="H97" s="185"><f>'CO2 factors'!D$7*H19</f><v>2290.5082562292</v></c><c r="I97" s="185"><f>'CO2 factors'!E$7*I19</f><v>0</v></c><c r="J97" s="185"><f>'CO2 factors'!F$7*J19</f><v>173.99018246399999</v></c><c r="K97" s="185"><f>'CO2 factors'!G$7*K19</f><v>0</v></c><c r="L97" s="185"><f>'CO2 factors'!H$7*L19</f><v>0</v></c><c r="M97" s="64"><f t="shared" si="10"/><v>2464.4984386932001</v></c><c r="N97" s="185"><f>'CO2 factors'!J$7*N19</f><v>0</v></c><c r="O97" s="185"><f>'CO2 factors'!K$7*O19</f><v>0</v></c><c r="P97" s="185"><f>'CO2 factors'!L$7*P19</f><v>0</v></c><c r="Q97" s="185"><f>'CO2 factors'!M$7*Q19</f><v>0</v></c><c r="R97" s="185"><f>'CO2 factors'!N$7*R19</f><v>0</v></c><c r="S97" s="185"><f>'CO2 factors'!O$7*S19</f><v>0</v></c><c r="T97" s="64"><f t="shared" si="12"/><v>0</v></c><c r="U97" s="64"><f t="shared" si="13"/><v>4097.9389289622986</v></c></row><row r="98" spans="1:21" s="21" customFormat="1" ht="15.75"><c r="A98" s="22"/><c r="B98" s="182" t="str"><f>Translation!A63</f><v>Lighting</v></c><c r="C98" s="185"><f t="shared" si="14"/><v>883.60261662532525</v></c><c r="D98" s="185"><f t="shared" si="15"/><v>0</v></c><c r="E98" s="185"><f t="shared" si="16"/><v>0</v></c><c r="F98" s="64"><f t="shared" si="8"/><v>883.60261662532525</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883.60261662532525</v></c></row><row r="99" spans="1:21" s="21" customFormat="1" ht="15.75"><c r="A99" s="22"/><c r="B99" s="182" t="str"><f>Translation!A64</f><v>Cooking</v></c><c r="C99" s="185"><f t="shared" si="14"/><v>617.49665718749998</v></c><c r="D99" s="185"><f t="shared" si="15"/><v>0</v></c><c r="E99" s="185"><f t="shared" si="16"/><v>0</v></c><c r="F99" s="64"><f t="shared" si="8"/><v>617.49665718749998</v></c><c r="G99" s="185"><f>'CO2 factors'!C$7*G21</f><v>0</v></c><c r="H99" s="185"><f>'CO2 factors'!D$7*H21</f><v>0</v></c><c r="I99" s="185"><f>'CO2 factors'!E$7*I21</f><v>0</v></c><c r="J99" s="185"><f>'CO2 factors'!F$7*J21</f><v>74.293070399999991</v></c><c r="K99" s="185"><f>'CO2 factors'!G$7*K21</f><v>0</v></c><c r="L99" s="185"><f>'CO2 factors'!H$7*L21</f><v>0</v></c><c r="M99" s="64"><f t="shared" si="10"/><v>74.293070399999991</v></c><c r="N99" s="185"><f>'CO2 factors'!J$7*N21</f><v>0</v></c><c r="O99" s="185"><f>'CO2 factors'!K$7*O21</f><v>0</v></c><c r="P99" s="185"><f>'CO2 factors'!L$7*P21</f><v>0</v></c><c r="Q99" s="185"><f>'CO2 factors'!M$7*Q21</f><v>0</v></c><c r="R99" s="185"><f>'CO2 factors'!N$7*R21</f><v>0</v></c><c r="S99" s="185"><f>'CO2 factors'!O$7*S21</f><v>0</v></c><c r="T99" s="64"><f t="shared" si="12"/><v>0</v></c><c r="U99" s="64"><f t="shared" si="13"/><v>691.78972758750001</v></c></row><row r="100" spans="1:21" s="21" customFormat="1" ht="15.75"><c r="A100" s="22"/><c r="B100" s="182" t="str"><f>Translation!A65</f><v>Refrigerator and freezers</v></c><c r="C100" s="185"><f t="shared" si="14"/><v>866.6619750000001</v></c><c r="D100" s="185"><f t="shared" si="15"/><v>0</v></c><c r="E100" s="185"><f t="shared" si="16"/><v>0</v></c><c r="F100" s="64"><f t="shared" si="8"/><v>866.6619750000001</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866.6619750000001</v></c></row><row r="101" spans="1:21" s="21" customFormat="1" ht="15.75"><c r="A101" s="22"/><c r="B101" s="182" t="str"><f>Translation!A66</f><v>Laundry machines and dryers</v></c><c r="C101" s="185"><f t="shared" si="14"/><v>52.746281250000003</v></c><c r="D101" s="185"><f t="shared" si="15"/><v>0</v></c><c r="E101" s="185"><f t="shared" si="16"/><v>0</v></c><c r="F101" s="64"><f t="shared" si="8"/><v>52.746281250000003</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52.746281250000003</v></c></row><row r="102" spans="1:21" s="21" customFormat="1" ht="15.75"><c r="A102" s="22"/><c r="B102" s="182" t="str"><f>Translation!A67</f><v>Dish washing</v></c><c r="C102" s="185"><f t="shared" si="14"/><v>73.844793749999994</v></c><c r="D102" s="185"><f t="shared" si="15"/><v>0</v></c><c r="E102" s="185"><f t="shared" si="16"/><v>0</v></c><c r="F102" s="64"><f t="shared" si="8"/><v>73.844793749999994</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73.844793749999994</v></c></row><row r="103" spans="1:21" s="21" customFormat="1" ht="15.75"><c r="A103" s="22"/><c r="B103" s="182" t="str"><f>Translation!A68</f><v>Tv sets</v></c><c r="C103" s="185"><f t="shared" si="14"/><v>68.610739687500001</v></c><c r="D103" s="185"><f t="shared" si="15"/><v>0</v></c><c r="E103" s="185"><f t="shared" si="16"/><v>0</v></c><c r="F103" s="64"><f t="shared" si="8"/><v>68.610739687500001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68.610739687500001</v></c></row><row r="104" spans="1:21" s="21" customFormat="1" ht="15.75"><c r="A104" s="22"/><c r="B104" s="182" t="str"><f>Translation!A69</f><v>Other electric appliances</v></c><c r="C104" s="185"><f t="shared" si="14"/><v>617.40847622499962</v></c><c r="D104" s="185"><f t="shared" si="15"/><v>0</v></c><c r="E104" s="185"><f t="shared" si="16"/><v>0</v></c><c r="F104" s="64"><f t="shared" si="8"/><v>617.40847622499962</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617.40847622499962</v></c></row><row r="105" spans="1:21" s="21" customFormat="1" ht="15.75"><c r="A105" s="22"/><c r="B105" s="66" t="str"><f>Translation!A70</f><v>PRIMARY SECTOR</v></c><c r="C105" s="64"><f>SUM(C106:C107)</f><v>919.32388243433752</v></c><c r="D105" s="64"><f>SUM(D106:D107)</f><v>0</v></c><c r="E105" s="64"><f>SUM(E106:E107)</f><v>0</v></c><c r="F105" s="64"><f t="shared" si="8"/><v>919.32388243433752</v></c><c r="G105" s="64"><f t="shared" ref="G105:L105" si="17">SUM(G106:G107)</f><v>0</v></c><c r="H105" s="64"><f t="shared" si="17"/><v>37.12788172993325</v></c><c r="I105" s="64"><f t="shared" si="17"/><v>0</v></c><c r="J105" s="64"><f t="shared" si="17"/><v>0</v></c><c r="K105" s="64"><f t="shared" si="17"/><v>0</v></c><c r="L105" s="64"><f t="shared" si="17"/><v>0</v></c><c r="M105" s="64"><f t="shared" si="10"/><v>37.12788172993325</v></c><c r="N105" s="64"><f t="shared" ref="N105:S105" si="18">SUM(N106:N107)</f><v>0</v></c><c r="O105" s="64"><f t="shared" si="18"/><v>0</v></c><c r="P105" s="64"><f t="shared" si="18"/><v>0</v></c><c r="Q105" s="64"><f t="shared" si="18"/><v>0</v></c><c r="R105" s="64"><f t="shared" si="18"/><v>0</v></c><c r="S105" s="64"><f t="shared" si="18"/><v>0</v></c><c r="T105" s="64"><f t="shared" si="12"/><v>0</v></c><c r="U105" s="64"><f t="shared" si="13"/><v>956.4517641642708</v></c></row><row r="106" spans="1:21" s="21" customFormat="1" ht="15.75"><c r="A106" s="22"/><c r="B106" s="183" t="str"><f>Translation!A71</f><v>Agriculture, forestry and fishing</v></c><c r="C106" s="185"><f>IF(AND(C$48&gt;0,($S$133+$V$143)&gt;0), ($S$133+$V$143)/C$48,0)*C28</f><v>919.32388243433752</v></c><c r="D106" s="185"><f>IF(AND(D$48&gt;0,$S$134&gt;0), ($S$134)/D$48,0)*D28</f><v>0</v></c><c r="E106" s="185"><f>IF(AND(E$48&gt;0,$S$135&gt;0), ($S$135)/E$48,0)*E28</f><v>0</v></c><c r="F106" s="64"><f t="shared" si="8"/><v>919.32388243433752</v></c><c r="G106" s="185"><f>'CO2 factors'!C$7*G28</f><v>0</v></c><c r="H106" s="185"><f>'CO2 factors'!D$7*H28</f><v>37.12788172993325</v></c><c r="I106" s="185"><f>'CO2 factors'!E$7*I28</f><v>0</v></c><c r="J106" s="185"><f>'CO2 factors'!F$7*J28</f><v>0</v></c><c r="K106" s="185"><f>'CO2 factors'!G$7*K28</f><v>0</v></c><c r="L106" s="185"><f>'CO2 factors'!H$7*L28</f><v>0</v></c><c r="M106" s="64"><f t="shared" si="10"/><v>37.12788172993325</v></c><c r="N106" s="185"><f>'CO2 factors'!J$7*N28</f><v>0</v></c><c r="O106" s="185"><f>'CO2 factors'!K$7*O28</f><v>0</v></c><c r="P106" s="185"><f>'CO2 factors'!L$7*P28</f><v>0</v></c><c r="Q106" s="185"><f>'CO2 factors'!M$7*Q28</f><v>0</v></c><c r="R106" s="185"><f>'CO2 factors'!N$7*R28</f><v>0</v></c><c r="S106" s="185"><f>'CO2 factors'!O$7*S28</f><v>0</v></c><c r="T106" s="64"><f t="shared" si="12"/><v>0</v></c><c r="U106" s="64"><f t="shared" si="13"/><v>956.4517641642708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502.56372239743797</v></c><c r="D108" s="64"><f>SUM(D109:D111)</f><v>0</v></c><c r="E108" s="64"><f>SUM(E109:E111)</f><v>0</v></c><c r="F108" s="64"><f t="shared" si="8"/><v>502.56372239743797</v></c><c r="G108" s="64"><f t="shared" ref="G108:L108" si="19">SUM(G109:G111)</f><v>39.912769778027844</v></c><c r="H108" s="64"><f t="shared" si="19"/><v>39.922764137819065</v></c><c r="I108" s="64"><f t="shared" si="19"/><v>0</v></c><c r="J108" s="64"><f t="shared" si="19"/><v>2.4146521000993504</v></c><c r="K108" s="64"><f t="shared" si="19"/><v>0</v></c><c r="L108" s="64"><f t="shared" si="19"/><v>0</v></c><c r="M108" s="64"><f t="shared" si="10"/><v>82.250186015946255</v></c><c r="N108" s="64"><f t="shared" ref="N108:S108" si="20">SUM(N109:N111)</f><v>0</v></c><c r="O108" s="64"><f t="shared" si="20"/><v>0</v></c><c r="P108" s="64"><f t="shared" si="20"/><v>0</v></c><c r="Q108" s="64"><f t="shared" si="20"/><v>0</v></c><c r="R108" s="64"><f t="shared" si="20"/><v>0</v></c><c r="S108" s="64"><f t="shared" si="20"/><v>0</v></c><c r="T108" s="64"><f t="shared" si="12"/><v>0</v></c><c r="U108" s="64"><f t="shared" si="13"/><v>584.81390841338418</v></c></row><row r="109" spans="1:21" s="21" customFormat="1" ht="15.75"><c r="A109" s="22"/><c r="B109" s="183" t="str"><f>Translation!A74</f><v>Manufacturing</v></c><c r="C109" s="185"><f>IF(AND(C$48&gt;0,($S$133+$V$143)&gt;0), ($S$133+$V$143)/C$48,0)*C31</f><v>153.22064707238962</v></c><c r="D109" s="185"><f>IF(AND(D$48&gt;0,$S$134&gt;0), ($S$134)/D$48,0)*D31</f><v>0</v></c><c r="E109" s="185"><f>IF(AND(E$48&gt;0,$S$135&gt;0), ($S$135)/E$48,0)*E31</f><v>0</v></c><c r="F109" s="64"><f t="shared" si="8"/><v>153.22064707238962</v></c><c r="G109" s="185"><f>'CO2 factors'!C$7*G31</f><v>19.956384889013922</v></c><c r="H109" s="185"><f>'CO2 factors'!D$7*H31</f><v>19.961382068909533</v></c><c r="I109" s="185"><f>'CO2 factors'!E$7*I31</f><v>0</v></c><c r="J109" s="185"><f>'CO2 factors'!F$7*J31</f><v>2.4146521000993504</v></c><c r="K109" s="185"><f>'CO2 factors'!G$7*K31</f><v>0</v></c><c r="L109" s="185"><f>'CO2 factors'!H$7*L31</f><v>0</v></c><c r="M109" s="64"><f t="shared" si="10"/><v>42.332419058022808</v></c><c r="N109" s="185"><f>'CO2 factors'!J$7*N31</f><v>0</v></c><c r="O109" s="185"><f>'CO2 factors'!K$7*O31</f><v>0</v></c><c r="P109" s="185"><f>'CO2 factors'!L$7*P31</f><v>0</v></c><c r="Q109" s="185"><f>'CO2 factors'!M$7*Q31</f><v>0</v></c><c r="R109" s="185"><f>'CO2 factors'!N$7*R31</f><v>0</v></c><c r="S109" s="185"><f>'CO2 factors'!O$7*S31</f><v>0</v></c><c r="T109" s="64"><f t="shared" si="12"/><v>0</v></c><c r="U109" s="64"><f t="shared" si="13"/><v>195.55306613041245</v></c></row><row r="110" spans="1:21" s="21" customFormat="1" ht="30"><c r="A110" s="22"/><c r="B110" s="183" t="str"><f>Translation!A75</f><v>Water supply, sewerage, waste management and remediation activities</v></c><c r="C110" s="185"><f>IF(AND(C$48&gt;0,($S$133+$V$143)&gt;0), ($S$133+$V$143)/C$48,0)*C32</f><v>196.12242825265872</v></c><c r="D110" s="185"><f>IF(AND(D$48&gt;0,$S$134&gt;0), ($S$134)/D$48,0)*D32</f><v>0</v></c><c r="E110" s="185"><f>IF(AND(E$48&gt;0,$S$135&gt;0), ($S$135)/E$48,0)*E32</f><v>0</v></c><c r="F110" s="64"><f t="shared" si="8"/><v>196.12242825265872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196.12242825265872</v></c></row><row r="111" spans="1:21" s="21" customFormat="1" ht="15.75"><c r="A111" s="22"/><c r="B111" s="183" t="str"><f>Translation!A76</f><v>Construction</v></c><c r="C111" s="185"><f>IF(AND(C$48&gt;0,($S$133+$V$143)&gt;0), ($S$133+$V$143)/C$48,0)*C33</f><v>153.22064707238962</v></c><c r="D111" s="185"><f>IF(AND(D$48&gt;0,$S$134&gt;0), ($S$134)/D$48,0)*D33</f><v>0</v></c><c r="E111" s="185"><f>IF(AND(E$48&gt;0,$S$135&gt;0), ($S$135)/E$48,0)*E33</f><v>0</v></c><c r="F111" s="64"><f t="shared" si="8"/><v>153.22064707238962</v></c><c r="G111" s="75"><f>'CO2 factors'!C$7*G33</f><v>19.956384889013922</v></c><c r="H111" s="75"><f>'CO2 factors'!D$7*H33</f><v>19.961382068909533</v></c><c r="I111" s="75"><f>'CO2 factors'!E$7*I33</f><v>0</v></c><c r="J111" s="75"><f>'CO2 factors'!F$7*J33</f><v>0</v></c><c r="K111" s="75"><f>'CO2 factors'!G$7*K33</f><v>0</v></c><c r="L111" s="75"><f>'CO2 factors'!H$7*L33</f><v>0</v></c><c r="M111" s="64"><f t="shared" si="10"/><v>39.917766957923455</v></c><c r="N111" s="75"><f>'CO2 factors'!J$7*N33</f><v>0</v></c><c r="O111" s="75"><f>'CO2 factors'!K$7*O33</f><v>0</v></c><c r="P111" s="75"><f>'CO2 factors'!L$7*P33</f><v>0</v></c><c r="Q111" s="75"><f>'CO2 factors'!M$7*Q33</f><v>0</v></c><c r="R111" s="75"><f>'CO2 factors'!N$7*R33</f><v>0</v></c><c r="S111" s="75"><f>'CO2 factors'!O$7*S33</f><v>0</v></c><c r="T111" s="64"><f t="shared" si="12"/><v>0</v></c><c r="U111" s="64"><f t="shared" si="13"/><v>193.13841403031307</v></c></row><row r="112" spans="1:21" s="21" customFormat="1" ht="15.75"><c r="A112" s="22"/><c r="B112" s="61" t="str"><f>Translation!A77</f><v>TERTIARY SECTOR</v></c><c r="C112" s="64"><f>SUM(C113:C120)</f><v>7186.7087183593712</v></c><c r="D112" s="64"><f>SUM(D113:D120)</f><v>0</v></c><c r="E112" s="64"><f>SUM(E113:E120)</f><v>0</v></c><c r="F112" s="64"><f t="shared" si="8"/><v>7186.7087183593712</v></c><c r="G112" s="64"><f t="shared" ref="G112:L112" si="21">SUM(G113:G120)</f><v>0</v></c><c r="H112" s="64"><f t="shared" si="21"/><v>884.41023335882835</v></c><c r="I112" s="64"><f t="shared" si="21"/><v>0</v></c><c r="J112" s="64"><f t="shared" si="21"/><v>22.130355739655172</v></c><c r="K112" s="64"><f t="shared" si="21"/><v>0</v></c><c r="L112" s="64"><f t="shared" si="21"/><v>0</v></c><c r="M112" s="64"><f t="shared" si="10"/><v>906.54058909848357</v></c><c r="N112" s="64"><f t="shared" ref="N112:S112" si="22">SUM(N113:N120)</f><v>0</v></c><c r="O112" s="64"><f t="shared" si="22"/><v>0</v></c><c r="P112" s="64"><f t="shared" si="22"/><v>0</v></c><c r="Q112" s="64"><f t="shared" si="22"/><v>0</v></c><c r="R112" s="64"><f t="shared" si="22"/><v>0</v></c><c r="S112" s="64"><f t="shared" si="22"/><v>0</v></c><c r="T112" s="64"><f t="shared" si="12"/><v>0</v></c><c r="U112" s="64"><f t="shared" si="13"/><v>8093.2493074578551</v></c></row><row r="113" spans="1:23" s="21" customFormat="1" ht="30"><c r="A113" s="22"/><c r="B113" s="183" t="str"><f>Translation!A78</f><v xml:space="preserve">Wholesale and retail trade; repair of motor vehicles and motorcycles </v></c><c r="C113" s="185"><f t="shared" ref="C113:C120" si="23">IF(AND(C$48&gt;0,($S$133+$V$143)&gt;0), ($S$133+$V$143)/C$48,0)*C35</f><v>1833.9709801568854</v></c><c r="D113" s="185"><f t="shared" ref="D113:D120" si="24">IF(AND(D$48&gt;0,$S$134&gt;0), ($S$134)/D$48,0)*D35</f><v>0</v></c><c r="E113" s="185"><f t="shared" ref="E113:E120" si="25">IF(AND(E$48&gt;0,$S$135&gt;0), ($S$135)/E$48,0)*E35</f><v>0</v></c><c r="F113" s="64"><f t="shared" si="8"/><v>1833.9709801568854</v></c><c r="G113" s="185"><f>'CO2 factors'!C$7*G35</f><v>0</v></c><c r="H113" s="185"><f>'CO2 factors'!D$7*H35</f><v>292.73115621012806</v></c><c r="I113" s="185"><f>'CO2 factors'!E$7*I35</f><v>0</v></c><c r="J113" s="185"><f>'CO2 factors'!F$7*J35</f><v>0</v></c><c r="K113" s="185"><f>'CO2 factors'!G$7*K35</f><v>0</v></c><c r="L113" s="185"><f>'CO2 factors'!H$7*L35</f><v>0</v></c><c r="M113" s="64"><f t="shared" si="10"/><v>292.73115621012806</v></c><c r="N113" s="185"><f>'CO2 factors'!J$7*N35</f><v>0</v></c><c r="O113" s="185"><f>'CO2 factors'!K$7*O35</f><v>0</v></c><c r="P113" s="185"><f>'CO2 factors'!L$7*P35</f><v>0</v></c><c r="Q113" s="185"><f>'CO2 factors'!M$7*Q35</f><v>0</v></c><c r="R113" s="185"><f>'CO2 factors'!N$7*R35</f><v>0</v></c><c r="S113" s="185"><f>'CO2 factors'!O$7*S35</f><v>0</v></c><c r="T113" s="64"><f t="shared" si="12"/><v>0</v></c><c r="U113" s="64"><f t="shared" si="13"/><v>2126.7021363670133</v></c></row><row r="114" spans="1:23" s="21" customFormat="1" ht="15.75"><c r="A114" s="22"/><c r="B114" s="183" t="str"><f>Translation!A79</f><v>Accommodation and food service activities</v></c><c r="C114" s="185"><f t="shared" si="23"/><v>3904.8227594530745</v></c><c r="D114" s="185"><f t="shared" si="24"/><v>0</v></c><c r="E114" s="185"><f t="shared" si="25"/><v>0</v></c><c r="F114" s="64"><f t="shared" si="8"/><v>3904.8227594530745</v></c><c r="G114" s="185"><f>'CO2 factors'!C$7*G36</f><v>0</v></c><c r="H114" s="185"><f>'CO2 factors'!D$7*H36</f><v>424.45595201386493</v></c><c r="I114" s="185"><f>'CO2 factors'!E$7*I36</f><v>0</v></c><c r="J114" s="185"><f>'CO2 factors'!F$7*J36</f><v>22.130355739655172</v></c><c r="K114" s="185"><f>'CO2 factors'!G$7*K36</f><v>0</v></c><c r="L114" s="185"><f>'CO2 factors'!H$7*L36</f><v>0</v></c><c r="M114" s="64"><f t="shared" si="10"/><v>446.58630775352009</v></c><c r="N114" s="185"><f>'CO2 factors'!J$7*N36</f><v>0</v></c><c r="O114" s="185"><f>'CO2 factors'!K$7*O36</f><v>0</v></c><c r="P114" s="185"><f>'CO2 factors'!L$7*P36</f><v>0</v></c><c r="Q114" s="185"><f>'CO2 factors'!M$7*Q36</f><v>0</v></c><c r="R114" s="185"><f>'CO2 factors'!N$7*R36</f><v>0</v></c><c r="S114" s="185"><f>'CO2 factors'!O$7*S36</f><v>0</v></c><c r="T114" s="64"><f t="shared" si="12"/><v>0</v></c><c r="U114" s="64"><f t="shared" si="13"/><v>4351.409067206595</v></c></row><row r="115" spans="1:23" s="21" customFormat="1" ht="15.75"><c r="A115" s="22"/><c r="B115" s="183" t="str"><f>Translation!A80</f><v>General public administration and social security</v></c><c r="C115" s="185"><f t="shared" si="23"/><v>480.96056516590352</v></c><c r="D115" s="185"><f t="shared" si="24"/><v>0</v></c><c r="E115" s="185"><f t="shared" si="25"/><v>0</v></c><c r="F115" s="64"><f t="shared" si="8"/><v>480.96056516590352</v></c><c r="G115" s="185"><f>'CO2 factors'!C$7*G37</f><v>0</v></c><c r="H115" s="185"><f>'CO2 factors'!D$7*H37</f><v>30.862074966258191</v></c><c r="I115" s="185"><f>'CO2 factors'!E$7*I37</f><v>0</v></c><c r="J115" s="185"><f>'CO2 factors'!F$7*J37</f><v>0</v></c><c r="K115" s="185"><f>'CO2 factors'!G$7*K37</f><v>0</v></c><c r="L115" s="185"><f>'CO2 factors'!H$7*L37</f><v>0</v></c><c r="M115" s="64"><f t="shared" si="10"/><v>30.862074966258191</v></c><c r="N115" s="185"><f>'CO2 factors'!J$7*N37</f><v>0</v></c><c r="O115" s="185"><f>'CO2 factors'!K$7*O37</f><v>0</v></c><c r="P115" s="185"><f>'CO2 factors'!L$7*P37</f><v>0</v></c><c r="Q115" s="185"><f>'CO2 factors'!M$7*Q37</f><v>0</v></c><c r="R115" s="185"><f>'CO2 factors'!N$7*R37</f><v>0</v></c><c r="S115" s="185"><f>'CO2 factors'!O$7*S37</f><v>0</v></c><c r="T115" s="64"><f t="shared" si="12"/><v>0</v></c><c r="U115" s="64"><f t="shared" si="13"/><v>511.82264013216172</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276.49101809632373</v></c><c r="D117" s="185"><f t="shared" si="24"/><v>0</v></c><c r="E117" s="185"><f t="shared" si="25"/><v>0</v></c><c r="F117" s="64"><f t="shared" si="8"/><v>276.49101809632373</v></c><c r="G117" s="185"><f>'CO2 factors'!C$7*G39</f><v>0</v></c><c r="H117" s="185"><f>'CO2 factors'!D$7*H39</f><v>61.497828049430495</v></c><c r="I117" s="185"><f>'CO2 factors'!E$7*I39</f><v>0</v></c><c r="J117" s="185"><f>'CO2 factors'!F$7*J39</f><v>0</v></c><c r="K117" s="185"><f>'CO2 factors'!G$7*K39</f><v>0</v></c><c r="L117" s="185"><f>'CO2 factors'!H$7*L39</f><v>0</v></c><c r="M117" s="64"><f t="shared" si="10"/><v>61.497828049430495</v></c><c r="N117" s="185"><f>'CO2 factors'!J$7*N39</f><v>0</v></c><c r="O117" s="185"><f>'CO2 factors'!K$7*O39</f><v>0</v></c><c r="P117" s="185"><f>'CO2 factors'!L$7*P39</f><v>0</v></c><c r="Q117" s="185"><f>'CO2 factors'!M$7*Q39</f><v>0</v></c><c r="R117" s="185"><f>'CO2 factors'!N$7*R39</f><v>0</v></c><c r="S117" s="185"><f>'CO2 factors'!O$7*S39</f><v>0</v></c><c r="T117" s="64"><f t="shared" si="12"/><v>0</v></c><c r="U117" s="64"><f t="shared" si="13"/><v>337.98884614575422</v></c></row><row r="118" spans="1:23" s="21" customFormat="1" ht="15.75"><c r="A118" s="22"/><c r="B118" s="183" t="str"><f>Translation!A83</f><v>Human health and social work activities</v></c><c r="C118" s="185"><f t="shared" si="23"/><v>20.479389640948497</v></c><c r="D118" s="185"><f t="shared" si="24"/><v>0</v></c><c r="E118" s="185"><f t="shared" si="25"/><v>0</v></c><c r="F118" s="64"><f t="shared" si="8"/><v>20.479389640948497</v></c><c r="G118" s="185"><f>'CO2 factors'!C$7*G40</f><v>0</v></c><c r="H118" s="185"><f>'CO2 factors'!D$7*H40</f><v>4.6077446287159392</v></c><c r="I118" s="185"><f>'CO2 factors'!E$7*I40</f><v>0</v></c><c r="J118" s="185"><f>'CO2 factors'!F$7*J40</f><v>0</v></c><c r="K118" s="185"><f>'CO2 factors'!G$7*K40</f><v>0</v></c><c r="L118" s="185"><f>'CO2 factors'!H$7*L40</f><v>0</v></c><c r="M118" s="64"><f t="shared" si="10"/><v>4.6077446287159392</v></c><c r="N118" s="185"><f>'CO2 factors'!J$7*N40</f><v>0</v></c><c r="O118" s="185"><f>'CO2 factors'!K$7*O40</f><v>0</v></c><c r="P118" s="185"><f>'CO2 factors'!L$7*P40</f><v>0</v></c><c r="Q118" s="185"><f>'CO2 factors'!M$7*Q40</f><v>0</v></c><c r="R118" s="185"><f>'CO2 factors'!N$7*R40</f><v>0</v></c><c r="S118" s="185"><f>'CO2 factors'!O$7*S40</f><v>0</v></c><c r="T118" s="64"><f t="shared" si="12"/><v>0</v></c><c r="U118" s="64"><f t="shared" si="13"/><v>25.087134269664435</v></c></row><row r="119" spans="1:23" s="21" customFormat="1" ht="15.75"><c r="A119" s="22"/><c r="B119" s="183" t="str"><f>Translation!A84</f><v>Other services</v></c><c r="C119" s="185"><f t="shared" si="23"/><v>440.15303523765255</v></c><c r="D119" s="185"><f t="shared" si="24"/><v>0</v></c><c r="E119" s="185"><f t="shared" si="25"/><v>0</v></c><c r="F119" s="64"><f t="shared" si="8"/><v>440.15303523765255</v></c><c r="G119" s="185"><f>'CO2 factors'!C$7*G41</f><v>0</v></c><c r="H119" s="185"><f>'CO2 factors'!D$7*H41</f><v>70.255477490430749</v></c><c r="I119" s="185"><f>'CO2 factors'!E$7*I41</f><v>0</v></c><c r="J119" s="185"><f>'CO2 factors'!F$7*J41</f><v>0</v></c><c r="K119" s="185"><f>'CO2 factors'!G$7*K41</f><v>0</v></c><c r="L119" s="185"><f>'CO2 factors'!H$7*L41</f><v>0</v></c><c r="M119" s="64"><f t="shared" si="10"/><v>70.255477490430749</v></c><c r="N119" s="185"><f>'CO2 factors'!J$7*N41</f><v>0</v></c><c r="O119" s="185"><f>'CO2 factors'!K$7*O41</f><v>0</v></c><c r="P119" s="185"><f>'CO2 factors'!L$7*P41</f><v>0</v></c><c r="Q119" s="185"><f>'CO2 factors'!M$7*Q41</f><v>0</v></c><c r="R119" s="185"><f>'CO2 factors'!N$7*R41</f><v>0</v></c><c r="S119" s="185"><f>'CO2 factors'!O$7*S41</f><v>0</v></c><c r="T119" s="64"><f t="shared" si="12"/><v>0</v></c><c r="U119" s="64"><f t="shared" si="13"/><v>510.40851272808328</v></c></row><row r="120" spans="1:23" s="21" customFormat="1" ht="15.75"><c r="A120" s="22"/><c r="B120" s="183" t="str"><f>Translation!A85</f><v>Public lighting</v></c><c r="C120" s="185"><f t="shared" si="23"/><v>229.83097060858438</v></c><c r="D120" s="185"><f t="shared" si="24"/><v>0</v></c><c r="E120" s="185"><f t="shared" si="25"/><v>0</v></c><c r="F120" s="64"><f t="shared" si="8"/><v>229.83097060858438</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229.83097060858438</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329.3432516430338</v></c><c r="I121" s="64"><f t="shared" si="26"/><v>444.90460509070437</v></c><c r="J121" s="64"><f t="shared" si="26"/><v>0</v></c><c r="K121" s="64"><f t="shared" si="26"/><v>0</v></c><c r="L121" s="64"><f t="shared" si="26"/><v>0</v></c><c r="M121" s="64"><f t="shared" si="10"/><v>774.24785673373822</v></c><c r="N121" s="64"><f t="shared" ref="N121:S121" si="27">SUM(N122:N125)</f><v>0</v></c><c r="O121" s="64"><f t="shared" si="27"/><v>0</v></c><c r="P121" s="64"><f t="shared" si="27"/><v>0</v></c><c r="Q121" s="64"><f t="shared" si="27"/><v>0</v></c><c r="R121" s="64"><f t="shared" si="27"/><v>0</v></c><c r="S121" s="64"><f t="shared" si="27"/><v>0</v></c><c r="T121" s="64"><f t="shared" si="12"/><v>0</v></c><c r="U121" s="64"><f t="shared" si="13"/><v>774.24785673373822</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2.3844001479565895</v></c><c r="I122" s="185"><f>'CO2 factors'!E$7*I44</f><v>0.51273576869853033</v></c><c r="J122" s="185"><f>'CO2 factors'!F$7*J44</f><v>0</v></c><c r="K122" s="185"><f>'CO2 factors'!G$7*K44</f><v>0</v></c><c r="L122" s="185"><f>'CO2 factors'!H$7*L44</f><v>0</v></c><c r="M122" s="64"><f t="shared" si="10"/><v>2.8971359166551198</v></c><c r="N122" s="185"><f>'CO2 factors'!J$7*N44</f><v>0</v></c><c r="O122" s="185"><f>'CO2 factors'!K$7*O44</f><v>0</v></c><c r="P122" s="185"><f>'CO2 factors'!L$7*P44</f><v>0</v></c><c r="Q122" s="185"><f>'CO2 factors'!M$7*Q44</f><v>0</v></c><c r="R122" s="185"><f>'CO2 factors'!N$7*R44</f><v>0</v></c><c r="S122" s="185"><f>'CO2 factors'!O$7*S44</f><v>0</v></c><c r="T122" s="64"><f t="shared" si="12"/><v>0</v></c><c r="U122" s="64"><f t="shared" si="13"/><v>2.8971359166551198</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230.0946142778109</v></c><c r="I123" s="185"><f>'CO2 factors'!E$7*I45</f><v>49.479001679408171</v></c><c r="J123" s="185"><f>'CO2 factors'!F$7*J45</f><v>0</v></c><c r="K123" s="185"><f>'CO2 factors'!G$7*K45</f><v>0</v></c><c r="L123" s="185"><f>'CO2 factors'!H$7*L45</f><v>0</v></c><c r="M123" s="64"><f t="shared" si="10"/><v>279.57361595721909</v></c><c r="N123" s="185"><f>'CO2 factors'!J$7*N45</f><v>0</v></c><c r="O123" s="185"><f>'CO2 factors'!K$7*O45</f><v>0</v></c><c r="P123" s="185"><f>'CO2 factors'!L$7*P45</f><v>0</v></c><c r="Q123" s="185"><f>'CO2 factors'!M$7*Q45</f><v>0</v></c><c r="R123" s="185"><f>'CO2 factors'!N$7*R45</f><v>0</v></c><c r="S123" s="185"><f>'CO2 factors'!O$7*S45</f><v>0</v></c><c r="T123" s="64"><f t="shared" si="12"/><v>0</v></c><c r="U123" s="64"><f t="shared" si="13"/><v>279.57361595721909</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1.4275174063463958</v></c><c r="I124" s="185"><f>'CO2 factors'!E$7*I46</f><v>15.948120227928923</v></c><c r="J124" s="185"><f>'CO2 factors'!F$7*J46</f><v>0</v></c><c r="K124" s="185"><f>'CO2 factors'!G$7*K46</f><v>0</v></c><c r="L124" s="185"><f>'CO2 factors'!H$7*L46</f><v>0</v></c><c r="M124" s="64"><f t="shared" si="10"/><v>17.375637634275318</v></c><c r="N124" s="185"><f>'CO2 factors'!J$7*N46</f><v>0</v></c><c r="O124" s="185"><f>'CO2 factors'!K$7*O46</f><v>0</v></c><c r="P124" s="185"><f>'CO2 factors'!L$7*P46</f><v>0</v></c><c r="Q124" s="185"><f>'CO2 factors'!M$7*Q46</f><v>0</v></c><c r="R124" s="185"><f>'CO2 factors'!N$7*R46</f><v>0</v></c><c r="S124" s="185"><f>'CO2 factors'!O$7*S46</f><v>0</v></c><c r="T124" s="64"><f t="shared" si="12"/><v>0</v></c><c r="U124" s="64"><f t="shared" si="13"/><v>17.375637634275318</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95.436719810919882</v></c><c r="I125" s="185"><f>'CO2 factors'!E$7*I47</f><v>378.96474741466875</v></c><c r="J125" s="185"><f>'CO2 factors'!F$7*J47</f><v>0</v></c><c r="K125" s="185"><f>'CO2 factors'!G$7*K47</f><v>0</v></c><c r="L125" s="185"><f>'CO2 factors'!H$7*L47</f><v>0</v></c><c r="M125" s="64"><f t="shared" si="10"/><v>474.40146722558865</v></c><c r="N125" s="185"><f>'CO2 factors'!J$7*N47</f><v>0</v></c><c r="O125" s="185"><f>'CO2 factors'!K$7*O47</f><v>0</v></c><c r="P125" s="185"><f>'CO2 factors'!L$7*P47</f><v>0</v></c><c r="Q125" s="185"><f>'CO2 factors'!M$7*Q47</f><v>0</v></c><c r="R125" s="185"><f>'CO2 factors'!N$7*R47</f><v>0</v></c><c r="S125" s="185"><f>'CO2 factors'!O$7*S47</f><v>0</v></c><c r="T125" s="64"><f t="shared" si="12"/><v>0</v></c><c r="U125" s="64"><f t="shared" si="13"/><v>474.40146722558865</v></c></row><row r="126" spans="1:23" s="21" customFormat="1" ht="15.75"><c r="A126" s="22"/><c r="B126" s="73" t="str"><f>Translation!A118</f><v>TOTAL FOR INTERNAL MARKET</v></c><c r="C126" s="65"><f>C95+C105+C108+C112+C121</f><v>14498.181689830668</v></c><c r="D126" s="65"><f>D95+D105+D108+D112+D121</f><v>0</v></c><c r="E126" s="65"><f>E95+E105+E108+E112+E121</f><v>0</v></c><c r="F126" s="64"><f t="shared" si="8"/><v>14498.181689830668</v></c><c r="G126" s="65"><f t="shared" ref="G126:L126" si="28">G95+G105+G108+G112+G121</f><v>39.912769778027844</v></c><c r="H126" s="65"><f t="shared" si="28"/><v>3777.0497670225404</v></c><c r="I126" s="65"><f t="shared" si="28"/><v>444.90460509070437</v></c><c r="J126" s="65"><f t="shared" si="28"/><v>272.82826070375449</v></c><c r="K126" s="65"><f t="shared" si="28"/><v>0</v></c><c r="L126" s="65"><f t="shared" si="28"/><v>0</v></c><c r="M126" s="64"><f t="shared" si="10"/><v>4534.6954025950272</v></c><c r="N126" s="65"><f t="shared" ref="N126:S126" si="29">N95+N105+N108+N112+N121</f><v>0</v></c><c r="O126" s="65"><f t="shared" si="29"/><v>0</v></c><c r="P126" s="65"><f t="shared" si="29"/><v>0</v></c><c r="Q126" s="65"><f t="shared" si="29"/><v>0</v></c><c r="R126" s="65"><f t="shared" si="29"/><v>0</v></c><c r="S126" s="65"><f t="shared" si="29"/><v>0</v></c><c r="T126" s="64"><f t="shared" si="12"/><v>0</v></c><c r="U126" s="64"><f t="shared" si="13"/><v>19032.877092425697</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321" t="str"><f>Translation!A124</f><v>Electricity</v></c><c r="V133" s="322"/><c r="W133" s="190"><f>IF(S59&gt;0,S133/S59,0)</f><v>0</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39.912769778027844</v></c><c r="D143" s="186"><f>'CO2 factors'!D$7*D79</f><v>3777.0497670225404</v></c><c r="E143" s="186"><f>'CO2 factors'!E$7*E79</f><v>444.90460509070437</v></c><c r="F143" s="186"><f>'CO2 factors'!F$7*F79</f><v>272.82826070375444</v></c><c r="G143" s="186"><f>'CO2 factors'!G$7*G79</f><v>0</v></c><c r="H143" s="186"><f>'CO2 factors'!H$7*H79</f><v>0</v></c><c r="I143" s="53"><f>SUM(C143:H143)</f><v>4534.6954025950272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14498.181689830668</v></c><c r="T143" s="186"><f>'CO2 factors'!T$7*T79</f><v>0</v></c><c r="U143" s="186"><f>$W$133*U79</f><v>0</v></c><c r="V143" s="53"><f>S143-T143-U143</f><v>14498.181689830668</v></c><c r="W143" s="186"><f>$W$134*W79</f><v>0</v></c><c r="X143" s="186"><f>$W$135*X79</f><v>0</v></c><c r="Y143" s="53"><f>I143+R143+V143-W143-X143</f><v>19032.877092425697</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Samothrace</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2983</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7811.896776579074</v></c><c r="D17" s="234"><v>0</v></c><c r="E17" s="234"><v>0</v></c><c r="F17" s="64"><v>7811.896776579074</v></c><c r="G17" s="234"><v>0</v></c><c r="H17" s="234"><v>5696.5288375301334</v></c><c r="I17" s="234"><v>0</v></c><c r="J17" s="234"><v>1128.0656447922242</v></c><c r="K17" s="234"><v>0</v></c><c r="L17" s="234"><v>0</v></c><c r="M17" s="64"><v>6824.5944823223581</v></c><c r="N17" s="234"><v>0</v></c><c r="O17" s="234"><v>0</v></c><c r="P17" s="234"><v>1894.3003363702492</v></c><c r="Q17" s="234"><v>0</v></c><c r="R17" s="234"><v>0</v></c><c r="S17" s="234"><v>2694.7386979856456</v></c><c r="T17" s="64"><v>4589.0390343558947</v></c><c r="U17" s="64"><v>19225.530293257325</v></c></row><row r="18" spans="1:21" s="21" customFormat="1" ht="15.75"><c r="A18" s="22"/><c r="B18" s="182" t="str"><f>Translation!A61</f><v>Hot water</v></c><c r="C18" s="154"><v>822.28150799979721</v></c><c r="D18" s="154"><v>0</v></c><c r="E18" s="154"><v>0</v></c><c r="F18" s="64"><v>822.28150799979721</v></c><c r="G18" s="154"><v>0</v></c><c r="H18" s="154"><v>592.83871921977436</v></c><c r="I18" s="154"><v>0</v></c><c r="J18" s="154"><v>0</v></c><c r="K18" s="154"><v>0</v></c><c r="L18" s="154"><v>0</v></c><c r="M18" s="64"><v>592.83871921977436</v></c><c r="N18" s="154"><v>0</v></c><c r="O18" s="154"><v>0</v></c><c r="P18" s="154"><v>1894.3003363702492</v></c><c r="Q18" s="154"><v>0</v></c><c r="R18" s="154"><v>0</v></c><c r="S18" s="154"><v>314.99772696918387</v></c><c r="T18" s="64"><v>2209.2980633394332</v></c><c r="U18" s="64"><v>3624.4182905590046</v></c></row><row r="19" spans="1:21" s="21" customFormat="1" ht="15.75"><c r="A19" s="22"/><c r="B19" s="182" t="str"><f>Translation!A62</f><v>Heating and cooling</v></c><c r="C19" s="154"><v>4149.4547589568174</v></c><c r="D19" s="154"><v>0</v></c><c r="E19" s="154"><v>0</v></c><c r="F19" s="64"><v>4149.4547589568174</v></c><c r="G19" s="154"><v>0</v></c><c r="H19" s="154"><v>5103.6901183103591</v></c><c r="I19" s="154"><v>0</v></c><c r="J19" s="154"><v>785.2834183761496</v></c><c r="K19" s="154"><v>0</v></c><c r="L19" s="154"><v>0</v></c><c r="M19" s="64"><v>5888.9735366865089</v></c><c r="N19" s="154"><v>0</v></c><c r="O19" s="154"><v>0</v></c><c r="P19" s="154"><v>0</v></c><c r="Q19" s="154"><v>0</v></c><c r="R19" s="154"><v>0</v></c><c r="S19" s="154"><v>2094.089115669733</v></c><c r="T19" s="64"><v>2094.089115669733</v></c><c r="U19" s="64"><v>12132.51741131306</v></c></row><row r="20" spans="1:21" s="21" customFormat="1" ht="15.75"><c r="A20" s="22"/><c r="B20" s="182" t="str"><f>Translation!A63</f><v>Lighting</v></c><c r="C20" s="154"><v>715.20551092030814</v></c><c r="D20" s="154"><v>0</v></c><c r="E20" s="154"><v>0</v></c><c r="F20" s="64"><v>715.20551092030814</v></c><c r="G20" s="154"><v>0</v></c><c r="H20" s="154"><v>0</v></c><c r="I20" s="154"><v>0</v></c><c r="J20" s="154"><v>0</v></c><c r="K20" s="154"><v>0</v></c><c r="L20" s="154"><v>0</v></c><c r="M20" s="64"><v>0</v></c><c r="N20" s="154"><v>0</v></c><c r="O20" s="154"><v>0</v></c><c r="P20" s="154"><v>0</v></c><c r="Q20" s="154"><v>0</v></c><c r="R20" s="154"><v>0</v></c><c r="S20" s="154"><v>0</v></c><c r="T20" s="64"><v>0</v></c><c r="U20" s="64"><v>715.20551092030814</v></c></row><row r="21" spans="1:21" s="21" customFormat="1" ht="15.75"><c r="A21" s="22"/><c r="B21" s="182" t="str"><f>Translation!A64</f><v>Cooking</v></c><c r="C21" s="154"><v>571.30371069345756</v></c><c r="D21" s="154"><v>0</v></c><c r="E21" s="154"><v>0</v></c><c r="F21" s="64"><v>571.30371069345756</v></c><c r="G21" s="154"><v>0</v></c><c r="H21" s="154"><v>0</v></c><c r="I21" s="154"><v>0</v></c><c r="J21" s="154"><v>342.78222641607459</v></c><c r="K21" s="154"><v>0</v></c><c r="L21" s="154"><v>0</v></c><c r="M21" s="64"><v>342.78222641607459</v></c><c r="N21" s="154"><v>0</v></c><c r="O21" s="154"><v>0</v></c><c r="P21" s="154"><v>0</v></c><c r="Q21" s="154"><v>0</v></c><c r="R21" s="154"><v>0</v></c><c r="S21" s="154"><v>285.65185534672878</v></c><c r="T21" s="64"><v>285.65185534672878</v></c><c r="U21" s="64"><v>1199.7377924562609</v></c></row><row r="22" spans="1:21" s="21" customFormat="1" ht="15.75"><c r="A22" s="22"/><c r="B22" s="182" t="str"><f>Translation!A65</f><v>Refrigerator and freezers</v></c><c r="C22" s="154"><v>801.82976939432649</v></c><c r="D22" s="154"><v>0</v></c><c r="E22" s="154"><v>0</v></c><c r="F22" s="64"><v>801.82976939432649</v></c><c r="G22" s="154"><v>0</v></c><c r="H22" s="154"><v>0</v></c><c r="I22" s="154"><v>0</v></c><c r="J22" s="154"><v>0</v></c><c r="K22" s="154"><v>0</v></c><c r="L22" s="154"><v>0</v></c><c r="M22" s="64"><v>0</v></c><c r="N22" s="154"><v>0</v></c><c r="O22" s="154"><v>0</v></c><c r="P22" s="154"><v>0</v></c><c r="Q22" s="154"><v>0</v></c><c r="R22" s="154"><v>0</v></c><c r="S22" s="154"><v>0</v></c><c r="T22" s="64"><v>0</v></c><c r="U22" s="64"><v>801.82976939432649</v></c></row><row r="23" spans="1:21" s="21" customFormat="1" ht="15.75"><c r="A23" s="22"/><c r="B23" s="182" t="str"><f>Translation!A66</f><v>Laundry machines and dryers</v></c><c r="C23" s="154"><v>48.800500946283904</v></c><c r="D23" s="154"><v>0</v></c><c r="E23" s="154"><v>0</v></c><c r="F23" s="64"><v>48.800500946283904</v></c><c r="G23" s="154"><v>0</v></c><c r="H23" s="154"><v>0</v></c><c r="I23" s="154"><v>0</v></c><c r="J23" s="154"><v>0</v></c><c r="K23" s="154"><v>0</v></c><c r="L23" s="154"><v>0</v></c><c r="M23" s="64"><v>0</v></c><c r="N23" s="154"><v>0</v></c><c r="O23" s="154"><v>0</v></c><c r="P23" s="154"><v>0</v></c><c r="Q23" s="154"><v>0</v></c><c r="R23" s="154"><v>0</v></c><c r="S23" s="154"><v>0</v></c><c r="T23" s="64"><v>0</v></c><c r="U23" s="64"><v>48.800500946283904</v></c></row><row r="24" spans="1:21" s="21" customFormat="1" ht="15.75"><c r="A24" s="22"/><c r="B24" s="182" t="str"><f>Translation!A67</f><v>Dish washing</v></c><c r="C24" s="154"><v>68.320701324797454</v></c><c r="D24" s="154"><v>0</v></c><c r="E24" s="154"><v>0</v></c><c r="F24" s="64"><v>68.320701324797454</v></c><c r="G24" s="154"><v>0</v></c><c r="H24" s="154"><v>0</v></c><c r="I24" s="154"><v>0</v></c><c r="J24" s="154"><v>0</v></c><c r="K24" s="154"><v>0</v></c><c r="L24" s="154"><v>0</v></c><c r="M24" s="64"><v>0</v></c><c r="N24" s="154"><v>0</v></c><c r="O24" s="154"><v>0</v></c><c r="P24" s="154"><v>0</v></c><c r="Q24" s="154"><v>0</v></c><c r="R24" s="154"><v>0</v></c><c r="S24" s="154"><v>0</v></c><c r="T24" s="64"><v>0</v></c><c r="U24" s="64"><v>68.320701324797454</v></c></row><row r="25" spans="1:21" s="21" customFormat="1" ht="15.75"><c r="A25" s="22"/><c r="B25" s="182" t="str"><f>Translation!A68</f><v>Tv sets</v></c><c r="C25" s="154"><v>63.47819007705084</v></c><c r="D25" s="154"><v>0</v></c><c r="E25" s="154"><v>0</v></c><c r="F25" s="64"><v>63.47819007705084</v></c><c r="G25" s="154"><v>0</v></c><c r="H25" s="154"><v>0</v></c><c r="I25" s="154"><v>0</v></c><c r="J25" s="154"><v>0</v></c><c r="K25" s="154"><v>0</v></c><c r="L25" s="154"><v>0</v></c><c r="M25" s="64"><v>0</v></c><c r="N25" s="154"><v>0</v></c><c r="O25" s="154"><v>0</v></c><c r="P25" s="154"><v>0</v></c><c r="Q25" s="154"><v>0</v></c><c r="R25" s="154"><v>0</v></c><c r="S25" s="154"><v>0</v></c><c r="T25" s="64"><v>0</v></c><c r="U25" s="64"><v>63.47819007705084</v></c></row><row r="26" spans="1:21" s="21" customFormat="1" ht="15.75"><c r="A26" s="22"/><c r="B26" s="182" t="str"><f>Translation!A69</f><v>Other electric appliances</v></c><c r="C26" s="154"><v>571.22212626623411</v></c><c r="D26" s="154"><v>0</v></c><c r="E26" s="154"><v>0</v></c><c r="F26" s="64"><v>571.22212626623411</v></c><c r="G26" s="154"><v>0</v></c><c r="H26" s="154"><v>0</v></c><c r="I26" s="154"><v>0</v></c><c r="J26" s="154"><v>0</v></c><c r="K26" s="154"><v>0</v></c><c r="L26" s="154"><v>0</v></c><c r="M26" s="64"><v>0</v></c><c r="N26" s="154"><v>0</v></c><c r="O26" s="154"><v>0</v></c><c r="P26" s="154"><v>0</v></c><c r="Q26" s="154"><v>0</v></c><c r="R26" s="154"><v>0</v></c><c r="S26" s="154"><v>0</v></c><c r="T26" s="64"><v>0</v></c><c r="U26" s="64"><v>571.22212626623411</v></c></row><row r="27" spans="1:21" s="21" customFormat="1" ht="15.75"><c r="A27" s="22"/><c r="B27" s="66" t="str"><f>Translation!A70</f><v>PRIMARY SECTOR</v></c><c r="C27" s="234"><v>892.03282162996129</v></c><c r="D27" s="234"><v>0</v></c><c r="E27" s="234"><v>0</v></c><c r="F27" s="64"><v>892.03282162996129</v></c><c r="G27" s="234"><v>0</v></c><c r="H27" s="234"><v>161.49162252709525</v></c><c r="I27" s="234"><v>0</v></c><c r="J27" s="234"><v>0</v></c><c r="K27" s="234"><v>0</v></c><c r="L27" s="234"><v>0</v></c><c r="M27" s="64"><v>161.49162252709525</v></c><c r="N27" s="234"><v>0</v></c><c r="O27" s="234"><v>0</v></c><c r="P27" s="234"><v>0</v></c><c r="Q27" s="234"><v>0</v></c><c r="R27" s="234"><v>0</v></c><c r="S27" s="234"><v>184.36242924141891</v></c><c r="T27" s="64"><v>184.36242924141891</v></c><c r="U27" s="64"><v>1237.8868733984755</v></c></row><row r="28" spans="1:21" s="21" customFormat="1" ht="15.75"><c r="A28" s="22"/><c r="B28" s="183" t="str"><f>Translation!A71</f><v>Agriculture, forestry and fishing</v></c><c r="C28" s="154"><v>892.03282162996129</v></c><c r="D28" s="154"><v>0</v></c><c r="E28" s="154"><v>0</v></c><c r="F28" s="64"><v>892.03282162996129</v></c><c r="G28" s="154"><v>0</v></c><c r="H28" s="154"><v>161.49162252709525</v></c><c r="I28" s="154"><v>0</v></c><c r="J28" s="154"><v>0</v></c><c r="K28" s="154"><v>0</v></c><c r="L28" s="154"><v>0</v></c><c r="M28" s="64"><v>161.49162252709525</v></c><c r="N28" s="154"><v>0</v></c><c r="O28" s="154"><v>0</v></c><c r="P28" s="154"><v>0</v></c><c r="Q28" s="154"><v>0</v></c><c r="R28" s="154"><v>0</v></c><c r="S28" s="154"><v>184.36242924141891</v></c><c r="T28" s="64"><v>184.36242924141891</v></c><c r="U28" s="64"><v>1237.8868733984755</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434.13285703916421</v></c><c r="D30" s="234"><v>0</v></c><c r="E30" s="234"><v>0</v></c><c r="F30" s="64"><v>434.13285703916421</v></c><c r="G30" s="234"><v>147.9067451208054</v></c><c r="H30" s="234"><v>154.59294044818429</v></c><c r="I30" s="234"><v>0</v></c><c r="J30" s="234"><v>10.402162681306883</v></c><c r="K30" s="234"><v>0</v></c><c r="L30" s="234"><v>0</v></c><c r="M30" s="64"><v>312.90184825029655</v></c><c r="N30" s="234"><v>0</v></c><c r="O30" s="234"><v>0</v></c><c r="P30" s="234"><v>5.8548850933809007</v></c><c r="Q30" s="234"><v>0</v></c><c r="R30" s="234"><v>0</v></c><c r="S30" s="234"><v>16.015266982237463</v></c><c r="T30" s="64"><v>21.870152075618364</v></c><c r="U30" s="64"><v>768.90485736507912</v></c></row><row r="31" spans="1:21" s="21" customFormat="1" ht="15.75"><c r="A31" s="22"/><c r="B31" s="183" t="str"><f>Translation!A74</f><v>Manufacturing</v></c><c r="C31" s="154"><v>132.35757836559884</v></c><c r="D31" s="154"><v>0</v></c><c r="E31" s="154"><v>0</v></c><c r="F31" s="64"><v>132.35757836559884</v></c><c r="G31" s="154"><v>73.953372560402698</v></c><c r="H31" s="154"><v>77.296470224092147</v></c><c r="I31" s="154"><v>0</v></c><c r="J31" s="154"><v>10.402162681306883</v></c><c r="K31" s="154"><v>0</v></c><c r="L31" s="154"><v>0</v></c><c r="M31" s="64"><v>161.65200546580172</v></c><c r="N31" s="154"><v>0</v></c><c r="O31" s="154"><v>0</v></c><c r="P31" s="154"><v>5.8548850933809007</v></c><c r="Q31" s="154"><v>0</v></c><c r="R31" s="154"><v>0</v></c><c r="S31" s="154"><v>16.015266982237463</v></c><c r="T31" s="64"><v>21.870152075618364</v></c><c r="U31" s="64"><v>315.87973590701893</v></c></row><row r="32" spans="1:21" s="21" customFormat="1" ht="30"><c r="A32" s="22"/><c r="B32" s="183" t="str"><f>Translation!A75</f><v>Water supply, sewerage, waste management and remediation activities</v></c><c r="C32" s="154"><v>169.4177003079665</v></c><c r="D32" s="154"><v>0</v></c><c r="E32" s="154"><v>0</v></c><c r="F32" s="64"><v>169.4177003079665</v></c><c r="G32" s="154"><v>0</v></c><c r="H32" s="154"><v>0</v></c><c r="I32" s="154"><v>0</v></c><c r="J32" s="154"><v>0</v></c><c r="K32" s="154"><v>0</v></c><c r="L32" s="154"><v>0</v></c><c r="M32" s="64"><v>0</v></c><c r="N32" s="154"><v>0</v></c><c r="O32" s="154"><v>0</v></c><c r="P32" s="154"><v>0</v></c><c r="Q32" s="154"><v>0</v></c><c r="R32" s="154"><v>0</v></c><c r="S32" s="154"><v>0</v></c><c r="T32" s="64"><v>0</v></c><c r="U32" s="64"><v>169.4177003079665</v></c></row><row r="33" spans="1:21" s="21" customFormat="1" ht="15.75"><c r="A33" s="22"/><c r="B33" s="183" t="str"><f>Translation!A76</f><v>Construction</v></c><c r="C33" s="154"><v>132.35757836559884</v></c><c r="D33" s="154"><v>0</v></c><c r="E33" s="154"><v>0</v></c><c r="F33" s="64"><v>132.35757836559884</v></c><c r="G33" s="154"><v>73.953372560402698</v></c><c r="H33" s="154"><v>77.296470224092147</v></c><c r="I33" s="154"><v>0</v></c><c r="J33" s="154"><v>0</v></c><c r="K33" s="154"><v>0</v></c><c r="L33" s="154"><v>0</v></c><c r="M33" s="64"><v>151.24984278449483</v></c><c r="N33" s="154"><v>0</v></c><c r="O33" s="154"><v>0</v></c><c r="P33" s="154"><v>0</v></c><c r="Q33" s="154"><v>0</v></c><c r="R33" s="154"><v>0</v></c><c r="S33" s="154"><v>0</v></c><c r="T33" s="64"><v>0</v></c><c r="U33" s="64"><v>283.60742115009367</v></c></row><row r="34" spans="1:21" s="21" customFormat="1" ht="15.75"><c r="A34" s="22"/><c r="B34" s="61" t="str"><f>Translation!A77</f><v>TERTIARY SECTOR</v></c><c r="C34" s="234"><v>6855.0488734468663</v></c><c r="D34" s="234"><v>0</v></c><c r="E34" s="234"><v>0</v></c><c r="F34" s="64"><v>6855.0488734468663</v></c><c r="G34" s="234"><v>0</v></c><c r="H34" s="234"><v>2528.4851158369274</v></c><c r="I34" s="234"><v>0</v></c><c r="J34" s="234"><v>88.494625578374354</v></c><c r="K34" s="234"><v>0</v></c><c r="L34" s="234"><v>0</v></c><c r="M34" s="64"><v>2616.9797414153018</v></c><c r="N34" s="234"><v>0</v></c><c r="O34" s="234"><v>0</v></c><c r="P34" s="234"><v>592.70868196059132</v></c><c r="Q34" s="234"><v>0</v></c><c r="R34" s="234"><v>0</v></c><c r="S34" s="234"><v>48.600815152862403</v></c><c r="T34" s="64"><v>641.30949711345374</v></c><c r="U34" s="64"><v>10113.338111975621</v></c></row><row r="35" spans="1:21" s="21" customFormat="1" ht="30"><c r="A35" s="22"/><c r="B35" s="183" t="str"><f>Translation!A78</f><v xml:space="preserve">Wholesale and retail trade; repair of motor vehicles and motorcycles </v></c><c r="C35" s="154"><v>1962.788291335675</v></c><c r="D35" s="154"><v>0</v></c><c r="E35" s="154"><v>0</v></c><c r="F35" s="64"><v>1962.788291335675</v></c><c r="G35" s="154"><v>0</v></c><c r="H35" s="154"><v>1140.7450957628334</v></c><c r="I35" s="154"><v>0</v></c><c r="J35" s="154"><v>0</v></c><c r="K35" s="154"><v>0</v></c><c r="L35" s="154"><v>0</v></c><c r="M35" s="64"><v>1140.7450957628334</v></c><c r="N35" s="154"><v>0</v></c><c r="O35" s="154"><v>0</v></c><c r="P35" s="154"><v>94.454652559894114</v></c><c r="Q35" s="154"><v>0</v></c><c r="R35" s="154"><v>0</v></c><c r="S35" s="154"><v>0</v></c><c r="T35" s="64"><v>94.454652559894114</v></c><c r="U35" s="64"><v>3197.9880396584026</v></c></row><row r="36" spans="1:21" s="21" customFormat="1" ht="15.75"><c r="A36" s="22"/><c r="B36" s="183" t="str"><f>Translation!A79</f><v>Accommodation and food service activities</v></c><c r="C36" s="154"><v>3176.9285704527701</v></c><c r="D36" s="154"><v>0</v></c><c r="E36" s="154"><v>0</v></c><c r="F36" s="64"><v>3176.9285704527701</v></c><c r="G36" s="154"><v>0</v></c><c r="H36" s="154"><v>1155.8040774328877</v></c><c r="I36" s="154"><v>0</v></c><c r="J36" s="154"><v>88.494625578374354</v></c><c r="K36" s="154"><v>0</v></c><c r="L36" s="154"><v>0</v></c><c r="M36" s="64"><v>1244.298703011262</v></c><c r="N36" s="154"><v>0</v></c><c r="O36" s="154"><v>0</v></c><c r="P36" s="154"><v>439.2666405986721</v></c><c r="Q36" s="154"><v>0</v></c><c r="R36" s="154"><v>0</v></c><c r="S36" s="154"><v>48.600815152862403</v></c><c r="T36" s="64"><v>487.86745575153452</v></c><c r="U36" s="64"><v>4909.0947292155661</v></c></row><row r="37" spans="1:21" s="21" customFormat="1" ht="15.75"><c r="A37" s="22"/><c r="B37" s="183" t="str"><f>Translation!A80</f><v>General public administration and social security</v></c><c r="C37" s="154"><v>482.43838583419466</v></c><c r="D37" s="154"><v>0</v></c><c r="E37" s="154"><v>0</v></c><c r="F37" s="64"><v>482.43838583419466</v></c><c r="G37" s="154"><v>0</v></c><c r="H37" s="154"><v>50.174962310362538</v></c><c r="I37" s="154"><v>0</v></c><c r="J37" s="154"><v>0</v></c><c r="K37" s="154"><v>0</v></c><c r="L37" s="154"><v>0</v></c><c r="M37" s="64"><v>50.174962310362538</v></c><c r="N37" s="154"><v>0</v></c><c r="O37" s="154"><v>0</v></c><c r="P37" s="154"><v>0</v></c><c r="Q37" s="154"><v>0</v></c><c r="R37" s="154"><v>0</v></c><c r="S37" s="154"><v>0</v></c><c r="T37" s="64"><v>0</v></c><c r="U37" s="64"><v>532.61334814455722</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360.2091763039507</v></c><c r="D39" s="154"><v>0</v></c><c r="E39" s="154"><v>0</v></c><c r="F39" s="64"><v>360.2091763039507</v></c><c r="G39" s="154"><v>0</v></c><c r="H39" s="154"><v>223.5222534125524</v></c><c r="I39" s="154"><v>0</v></c><c r="J39" s="154"><v>0</v></c><c r="K39" s="154"><v>0</v></c><c r="L39" s="154"><v>0</v></c><c r="M39" s="64"><v>223.5222534125524</v></c><c r="N39" s="154"><v>0</v></c><c r="O39" s="154"><v>0</v></c><c r="P39" s="154"><v>0</v></c><c r="Q39" s="154"><v>0</v></c><c r="R39" s="154"><v>0</v></c><c r="S39" s="154"><v>0</v></c><c r="T39" s="64"><v>0</v></c><c r="U39" s="64"><v>583.73142971650304</v></c></row><row r="40" spans="1:21" s="21" customFormat="1" ht="15.75"><c r="A40" s="22"/><c r="B40" s="183" t="str"><f>Translation!A83</f><v>Human health and social work activities</v></c><c r="C40" s="154"><v>21.227239546536367</v></c><c r="D40" s="154"><v>0</v></c><c r="E40" s="154"><v>0</v></c><c r="F40" s="64"><v>21.227239546536367</v></c><c r="G40" s="154"><v>0</v></c><c r="H40" s="154"><v>-21.455236063738091</v></c><c r="I40" s="154"><v>0</v></c><c r="J40" s="154"><v>0</v></c><c r="K40" s="154"><v>0</v></c><c r="L40" s="154"><v>0</v></c><c r="M40" s="64"><v>-21.455236063738091</v></c><c r="N40" s="154"><v>0</v></c><c r="O40" s="154"><v>0</v></c><c r="P40" s="154"><v>36.318272187650493</v></c><c r="Q40" s="154"><v>0</v></c><c r="R40" s="154"><v>0</v></c><c r="S40" s="154"><v>0</v></c><c r="T40" s="64"><v>36.318272187650493</v></c><c r="U40" s="64"><v>36.090275670448769</v></c></row><row r="41" spans="1:21" s="21" customFormat="1" ht="15.75"><c r="A41" s="22"/><c r="B41" s="183" t="str"><f>Translation!A84</f><v>Other services</v></c><c r="C41" s="154"><v>639.47675932287245</v></c><c r="D41" s="154"><v>0</v></c><c r="E41" s="154"><v>0</v></c><c r="F41" s="64"><v>639.47675932287245</v></c><c r="G41" s="154"><v>0</v></c><c r="H41" s="154"><v>-20.306037017970255</v></c><c r="I41" s="154"><v>0</v></c><c r="J41" s="154"><v>0</v></c><c r="K41" s="154"><v>0</v></c><c r="L41" s="154"><v>0</v></c><c r="M41" s="64"><v>-20.306037017970255</v></c><c r="N41" s="154"><v>0</v></c><c r="O41" s="154"><v>0</v></c><c r="P41" s="154"><v>22.66911661437458</v></c><c r="Q41" s="154"><v>0</v></c><c r="R41" s="154"><v>0</v></c><c r="S41" s="154"><v>0</v></c><c r="T41" s="64"><v>22.66911661437458</v></c><c r="U41" s="64"><v>641.83983891927687</v></c></row><row r="42" spans="1:21" s="21" customFormat="1" ht="15.75"><c r="A42" s="22"/><c r="B42" s="183" t="str"><f>Translation!A85</f><v>Public lighting</v></c><c r="C42" s="154"><v>211.98045065086751</v></c><c r="D42" s="154"><v>0</v></c><c r="E42" s="154"><v>0</v></c><c r="F42" s="64"><v>211.98045065086751</v></c><c r="G42" s="154"><v>0</v></c><c r="H42" s="154"><v>0</v></c><c r="I42" s="154"><v>0</v></c><c r="J42" s="154"><v>0</v></c><c r="K42" s="154"><v>0</v></c><c r="L42" s="154"><v>0</v></c><c r="M42" s="64"><v>0</v></c><c r="N42" s="154"><v>0</v></c><c r="O42" s="154"><v>0</v></c><c r="P42" s="154"><v>0</v></c><c r="Q42" s="154"><v>0</v></c><c r="R42" s="154"><v>0</v></c><c r="S42" s="154"><v>0</v></c><c r="T42" s="64"><v>0</v></c><c r="U42" s="64"><v>211.98045065086751</v></c></row><row r="43" spans="1:21" s="21" customFormat="1" ht="15.75"><c r="A43" s="22"/><c r="B43" s="61" t="str"><f>Translation!A86</f><v>TRANSPORTS</v></c><c r="C43" s="234"><v>282.38851451167204</v></c><c r="D43" s="234"><v>0</v></c><c r="E43" s="234"><v>0</v></c><c r="F43" s="64"><v>282.38851451167204</v></c><c r="G43" s="234"><v>0</v></c><c r="H43" s="234"><v>782.3517461379106</v></c><c r="I43" s="234"><v>993.00992265959144</v></c><c r="J43" s="234"><v>0</v></c><c r="K43" s="234"><v>0</v></c><c r="L43" s="234"><v>0</v></c><c r="M43" s="64"><v>1775.361668797502</v></c><c r="N43" s="234"><v>0</v></c><c r="O43" s="234"><v>0</v></c><c r="P43" s="234"><v>0</v></c><c r="Q43" s="234"><v>0</v></c><c r="R43" s="234"><v>0</v></c><c r="S43" s="234"><v>0</v></c><c r="T43" s="64"><v>0</v></c><c r="U43" s="64"><v>2057.7501833091742</v></c></row><row r="44" spans="1:21" s="21" customFormat="1" ht="30"><c r="A44" s="22"/><c r="B44" s="183" t="str"><f>Translation!A87</f><v>Passenger transport by road (public transport, taxi, tourism, transfers, etc.)</v></c><c r="C44" s="154"><v>1.1239729329691772</v></c><c r="D44" s="154"><v>0</v></c><c r="E44" s="154"><v>0</v></c><c r="F44" s="64"><v>1.1239729329691772</v></c><c r="G44" s="154"><v>0</v></c><c r="H44" s="154"><v>6.6472603808317698</v></c><c r="I44" s="154"><v>1.5327420781044119</v></c><c r="J44" s="154"><v>0</v></c><c r="K44" s="154"><v>0</v></c><c r="L44" s="154"><v>0</v></c><c r="M44" s="64"><v>8.1800024589361815</v></c><c r="N44" s="154"><v>0</v></c><c r="O44" s="154"><v>0</v></c><c r="P44" s="154"><v>0</v></c><c r="Q44" s="154"><v>0</v></c><c r="R44" s="154"><v>0</v></c><c r="S44" s="154"><v>0</v></c><c r="T44" s="64"><v>0</v></c><c r="U44" s="64"><v>9.3039753919053592</v></c></row><row r="45" spans="1:21" s="21" customFormat="1" ht="15.75"><c r="A45" s="22"/><c r="B45" s="183" t="str"><f>Translation!A88</f><v>Freight transport by road and removal services</v></c><c r="C45" s="154"><v>104.32203790335498</v></c><c r="D45" s="154"><v>0</v></c><c r="E45" s="154"><v>0</v></c><c r="F45" s="64"><v>104.32203790335498</v></c><c r="G45" s="154"><v>0</v></c><c r="H45" s="154"><v>579.75558570816884</v></c><c r="I45" s="154"><v>133.68150641329134</v></c><c r="J45" s="154"><v>0</v></c><c r="K45" s="154"><v>0</v></c><c r="L45" s="154"><v>0</v></c><c r="M45" s="64"><v>713.43709212146018</v></c><c r="N45" s="154"><v>0</v></c><c r="O45" s="154"><v>0</v></c><c r="P45" s="154"><v>0</v></c><c r="Q45" s="154"><v>0</v></c><c r="R45" s="154"><v>0</v></c><c r="S45" s="154"><v>0</v></c><c r="T45" s="64"><v>0</v></c><c r="U45" s="64"><v>817.75913002481514</v></c></row><row r="46" spans="1:21" s="21" customFormat="1" ht="15.75"><c r="A46" s="22"/><c r="B46" s="183" t="str"><f>Translation!A89</f><v>Other fleet for public and private services</v></c><c r="C46" s="154"><v>6.4153811475025515</v></c><c r="D46" s="154"><v>0</v></c><c r="E46" s="154"><v>0</v></c><c r="F46" s="64"><v>6.4153811475025515</v></c><c r="G46" s="154"><v>0</v></c><c r="H46" s="154"><v>3.0389021999409644</v></c><c r="I46" s="154"><v>36.404638792233172</v></c><c r="J46" s="154"><v>0</v></c><c r="K46" s="154"><v>0</v></c><c r="L46" s="154"><v>0</v></c><c r="M46" s="64"><v>39.443540992174135</v></c><c r="N46" s="154"><v>0</v></c><c r="O46" s="154"><v>0</v></c><c r="P46" s="154"><v>0</v></c><c r="Q46" s="154"><v>0</v></c><c r="R46" s="154"><v>0</v></c><c r="S46" s="154"><v>0</v></c><c r="T46" s="64"><v>0</v></c><c r="U46" s="64"><v>45.858922139676686</v></c></row><row r="47" spans="1:21" s="21" customFormat="1" ht="15.75"><c r="A47" s="22"/><c r="B47" s="182" t="str"><f>Translation!A90</f><v>Private transports</v></c><c r="C47" s="154"><v>170.52712252784531</v></c><c r="D47" s="154"><v>0</v></c><c r="E47" s="154"><v>0</v></c><c r="F47" s="64"><v>170.52712252784531</v></c><c r="G47" s="154"><v>0</v></c><c r="H47" s="154"><v>192.909997848969</v></c><c r="I47" s="154"><v>821.39103537596259</v></c><c r="J47" s="154"><v>0</v></c><c r="K47" s="154"><v>0</v></c><c r="L47" s="154"><v>0</v></c><c r="M47" s="64"><v>1014.3010332249316</v></c><c r="N47" s="154"><v>0</v></c><c r="O47" s="154"><v>0</v></c><c r="P47" s="154"><v>0</v></c><c r="Q47" s="154"><v>0</v></c><c r="R47" s="154"><v>0</v></c><c r="S47" s="154"><v>0</v></c><c r="T47" s="64"><v>0</v></c><c r="U47" s="64"><v>1184.8281557527769</v></c></row><row r="48" spans="1:21" s="21" customFormat="1" ht="15.75"><c r="A48" s="22"/><c r="B48" s="73" t="str"><f>Translation!A118</f><v>TOTAL FOR INTERNAL MARKET</v></c><c r="C48" s="65"><v>16275.499843206737</v></c><c r="D48" s="65"><v>0</v></c><c r="E48" s="65"><v>0</v></c><c r="F48" s="64"><v>16275.499843206737</v></c><c r="G48" s="65"><v>147.9067451208054</v></c><c r="H48" s="65"><v>9323.4502624802499</v></c><c r="I48" s="65"><v>993.00992265959144</v></c><c r="J48" s="65"><v>1226.9624330519055</v></c><c r="K48" s="65"><v>0</v></c><c r="L48" s="65"><v>0</v></c><c r="M48" s="64"><v>11691.329363312552</v></c><c r="N48" s="65"><v>0</v></c><c r="O48" s="65"><v>0</v></c><c r="P48" s="65"><v>2492.8639034242215</v></c><c r="Q48" s="65"><v>0</v></c><c r="R48" s="65"><v>0</v></c><c r="S48" s="65"><v>2943.7172093621639</v></c><c r="T48" s="64"><v>5436.5811127863853</v></c><c r="U48" s="64"><v>33403.410319305673</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0</v></c><c r="D59" s="235"><v>0</v></c><c r="E59" s="235"/><c r="F59" s="235"/><c r="G59" s="235"><v>0</v></c><c r="H59" s="235"><v>0</v></c><c r="I59" s="59"><v>0</v></c><c r="J59" s="235"><v>0</v></c><c r="K59" s="235"><v>2747.136</v></c><c r="L59" s="235"><v>980</v></c><c r="M59" s="235"><v>0</v></c><c r="N59" s="235"><v>0</v></c><c r="O59" s="235"><v>0</v></c><c r="P59" s="235"><v>0</v></c><c r="Q59" s="235"/><c r="R59" s="59"><v>3727.136</v></c><c r="S59" s="59"><v>3727.136</v></c><c r="T59" s="235"><v>0</v></c><c r="U59" s="235"/><c r="V59" s="59"><v>0</v></c><c r="W59" s="235"><v>0</v></c><c r="X59" s="235"><v>0</v></c><c r="Y59" s="235"><v>12695.962398715907</v></c><c r="Z59" s="235"><v>0</v></c><c r="AA59" s="186"><v>0</v></c><c r="AB59" s="59"><v>12695.962398715907</v></c><c r="AC59" s="64"><v>16423.098398715905</v></c><c r="AD59" s="187"><v>147.59855550916836</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2747.136</v></c><c r="L62" s="53"><f t="shared" si="0"/><v>980</v></c><c r="M62" s="53"><f t="shared" si="0"/><v>0</v></c><c r="N62" s="53"><f t="shared" si="0"/><v>0</v></c><c r="O62" s="53"><f t="shared" si="0"/><v>0</v></c><c r="P62" s="53"><f t="shared" si="0"/><v>0</v></c><c r="Q62" s="53"><f t="shared" si="0"/><v>0</v></c><c r="R62" s="53"><f t="shared" si="0"/><v>3727.136</v></c><c r="S62" s="53"><f t="shared" si="0"/><v>3727.136</v></c><c r="T62" s="53"><f t="shared" si="0"/><v>0</v></c><c r="U62" s="53"><f t="shared" si="0"/><v>0</v></c><c r="V62" s="53"><f t="shared" si="0"/><v>0</v></c><c r="W62" s="53"><f t="shared" si="0"/><v>0</v></c><c r="X62" s="53"><f t="shared" si="0"/><v>0</v></c><c r="Y62" s="53"><f t="shared" si="0"/><v>12695.962398715907</v></c><c r="Z62" s="53"><f t="shared" si="0"/><v>0</v></c><c r="AA62" s="53"><f t="shared" si="0"/><v>0</v></c><c r="AB62" s="53"><f t="shared" si="0"/><v>12695.962398715907</v></c><c r="AC62" s="53"><f t="shared" si="0"/><v>16423.098398715905</v></c><c r="AD62" s="53"><f t="shared" si="0"/><v>147.59855550916836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0</v></c><c r="D69" s="235"><v>0</v></c><c r="E69" s="235"/><c r="F69" s="235"/><c r="G69" s="235"><v>0</v></c><c r="H69" s="235"><v>0</v></c><c r="I69" s="59"><v>0</v></c><c r="J69" s="185"><v>0</v></c><c r="K69" s="185"><v>2747.136</v></c><c r="L69" s="185"><v>980</v></c><c r="M69" s="185"><v>0</v></c><c r="N69" s="185"><v>0</v></c><c r="O69" s="235"><v>0</v></c><c r="P69" s="185"><v>0</v></c><c r="Q69" s="185"/><c r="R69" s="59"><v>3727.136</v></c><c r="S69" s="59"><v>3727.136</v></c><c r="T69" s="71"><v>0</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2747.136</v></c><c r="L72" s="53"><f t="shared" si="1"/><v>980</v></c><c r="M72" s="53"><f t="shared" si="1"/><v>0</v></c><c r="N72" s="53"><f t="shared" si="1"/><v>0</v></c><c r="O72" s="53"><f t="shared" si="1"/><v>0</v></c><c r="P72" s="53"><f t="shared" si="1"/><v>0</v></c><c r="Q72" s="53"><f t="shared" si="1"/><v>0</v></c><c r="R72" s="53"><f t="shared" si="1"/><v>3727.136</v></c><c r="S72" s="53"><f t="shared" si="1"/><v>3727.136</v></c><c r="T72" s="71"><f>S72-AC62+AB62</f><v>0</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147.9067451208054</v></c><c r="D79" s="186"><f t="shared" si="2"/><v>9323.4502624802499</v></c><c r="E79" s="186"><f t="shared" si="2"/><v>993.00992265959144</v></c><c r="F79" s="186"><f t="shared" si="2"/><v>1226.9624330519055</v></c><c r="G79" s="186"><f t="shared" si="2"/><v>0</v></c><c r="H79" s="186"><f t="shared" si="2"/><v>0</v></c><c r="I79" s="53"><f>SUM(C79:H79)</f><v>11691.329363312552</v></c><c r="J79" s="186"><f t="shared" ref="J79:O79" si="3">N48+J72</f><v>0</v></c><c r="K79" s="186"><f t="shared" si="3"/><v>2747.136</v></c><c r="L79" s="186"><f t="shared" si="3"/><v>3472.8639034242215</v></c><c r="M79" s="186"><f t="shared" si="3"/><v>0</v></c><c r="N79" s="186"><f t="shared" si="3"/><v>0</v></c><c r="O79" s="186"><f t="shared" si="3"/><v>2943.7172093621639</v></c><c r="P79" s="186"><f>P72</f><v>0</v></c><c r="Q79" s="186"><f>Q72</f><v>0</v></c><c r="R79" s="53"><f>SUM(J79:Q79)</f><v>9163.717112786384</v></c><c r="S79" s="186"><f>Y62</f><v>12695.962398715907</v></c><c r="T79" s="186"><f>Z62</f><v>0</v></c><c r="U79" s="186"><f>$C$49+$C$50+$C$51</f><v>0</v></c><c r="V79" s="53"><f>S79-T79-U79</f><v>12695.962398715907</v></c><c r="W79" s="186"><f>$D$49+$D$50+$D$51</f><v>0</v></c><c r="X79" s="186"><f>$E$49+$E$50+$E$51</f><v>0</v></c><c r="Y79" s="53"><f>I79+R79+V79-W79-X79</f><v>33551.008874814841</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1</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7001.7696199136617</v></c><c r="D95" s="64"><f>SUM(D96:D104)</f><v>0</v></c><c r="E95" s="64"><f>SUM(E96:E104)</f><v>0</v></c><c r="F95" s="64"><f t="shared" ref="F95:F126" si="8">SUM(C95:E95)</f><v>7001.7696199136617</v></c><c r="G95" s="64"><f t="shared" ref="G95:L95" si="9">SUM(G96:G104)</f><v>0</v></c><c r="H95" s="64"><f t="shared" si="9"/><v>1520.9731996205458</v></c><c r="I95" s="64"><f t="shared" si="9"/><v>0</v></c><c r="J95" s="64"><f t="shared" si="9"/><v>270.73575475013376</v></c><c r="K95" s="64"><f t="shared" si="9"/><v>0</v></c><c r="L95" s="64"><f t="shared" si="9"/><v>0</v></c><c r="M95" s="64"><f t="shared" ref="M95:M126" si="10">SUM(G95:L95)</f><v>1791.7089543706795</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8793.4785742843414</v></c></row><row r="96" spans="1:32" s="21" customFormat="1" ht="15.75"><c r="A96" s="22"/><c r="B96" s="182" t="str"><f>Translation!A61</f><v>Hot water</v></c><c r="C96" s="185"><f t="shared" ref="C96:C104" si="14">IF(AND(C$48&gt;0,($S$133+$V$143)&gt;0), ($S$133+$V$143)/C$48,0)*C18</f><v>737.00739351692016</v></c><c r="D96" s="185"><f t="shared" ref="D96:D104" si="15">IF(AND(D$48&gt;0,$S$134&gt;0), ($S$134)/D$48,0)*D18</f><v>0</v></c><c r="E96" s="185"><f t="shared" ref="E96:E104" si="16">IF(AND(E$48&gt;0,$S$135&gt;0), ($S$135)/E$48,0)*E18</f><v>0</v></c><c r="F96" s="64"><f t="shared" si="8"/><v>737.00739351692016</v></c><c r="G96" s="185"><f>'CO2 factors'!C$7*G18</f><v>0</v></c><c r="H96" s="185"><f>'CO2 factors'!D$7*H18</f><v>158.28793803167977</v></c><c r="I96" s="185"><f>'CO2 factors'!E$7*I18</f><v>0</v></c><c r="J96" s="185"><f>'CO2 factors'!F$7*J18</f><v>0</v></c><c r="K96" s="185"><f>'CO2 factors'!G$7*K18</f><v>0</v></c><c r="L96" s="185"><f>'CO2 factors'!H$7*L18</f><v>0</v></c><c r="M96" s="64"><f t="shared" si="10"/><v>158.28793803167977</v></c><c r="N96" s="185"><f>'CO2 factors'!J$7*N18</f><v>0</v></c><c r="O96" s="185"><f>'CO2 factors'!K$7*O18</f><v>0</v></c><c r="P96" s="185"><f>'CO2 factors'!L$7*P18</f><v>0</v></c><c r="Q96" s="185"><f>'CO2 factors'!M$7*Q18</f><v>0</v></c><c r="R96" s="185"><f>'CO2 factors'!N$7*R18</f><v>0</v></c><c r="S96" s="185"><f>'CO2 factors'!O$7*S18</f><v>0</v></c><c r="T96" s="64"><f t="shared" si="12"/><v>0</v></c><c r="U96" s="64"><f t="shared" si="13"/><v>895.29533154859996</v></c></row><row r="97" spans="1:21" s="21" customFormat="1" ht="15.75"><c r="A97" s="22"/><c r="B97" s="182" t="str"><f>Translation!A62</f><v>Heating and cooling</v></c><c r="C97" s="185"><f t="shared" si="14"/><v>3719.1385269676994</v></c><c r="D97" s="185"><f t="shared" si="15"/><v>0</v></c><c r="E97" s="185"><f t="shared" si="16"/><v>0</v></c><c r="F97" s="64"><f t="shared" si="8"/><v>3719.1385269676994</v></c><c r="G97" s="185"><f>'CO2 factors'!C$7*G19</f><v>0</v></c><c r="H97" s="185"><f>'CO2 factors'!D$7*H19</f><v>1362.6852615888661</v></c><c r="I97" s="185"><f>'CO2 factors'!E$7*I19</f><v>0</v></c><c r="J97" s="185"><f>'CO2 factors'!F$7*J19</f><v>188.4680204102759</v></c><c r="K97" s="185"><f>'CO2 factors'!G$7*K19</f><v>0</v></c><c r="L97" s="185"><f>'CO2 factors'!H$7*L19</f><v>0</v></c><c r="M97" s="64"><f t="shared" si="10"/><v>1551.1532819991419</v></c><c r="N97" s="185"><f>'CO2 factors'!J$7*N19</f><v>0</v></c><c r="O97" s="185"><f>'CO2 factors'!K$7*O19</f><v>0</v></c><c r="P97" s="185"><f>'CO2 factors'!L$7*P19</f><v>0</v></c><c r="Q97" s="185"><f>'CO2 factors'!M$7*Q19</f><v>0</v></c><c r="R97" s="185"><f>'CO2 factors'!N$7*R19</f><v>0</v></c><c r="S97" s="185"><f>'CO2 factors'!O$7*S19</f><v>0</v></c><c r="T97" s="64"><f t="shared" si="12"/><v>0</v></c><c r="U97" s="64"><f t="shared" si="13"/><v>5270.291808966841</v></c></row><row r="98" spans="1:21" s="21" customFormat="1" ht="15.75"><c r="A98" s="22"/><c r="B98" s="182" t="str"><f>Translation!A63</f><v>Lighting</v></c><c r="C98" s="185"><f t="shared" si="14"/><v>641.03563597643677</v></c><c r="D98" s="185"><f t="shared" si="15"/><v>0</v></c><c r="E98" s="185"><f t="shared" si="16"/><v>0</v></c><c r="F98" s="64"><f t="shared" si="8"/><v>641.03563597643677</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641.03563597643677</v></c></row><row r="99" spans="1:21" s="21" customFormat="1" ht="15.75"><c r="A99" s="22"/><c r="B99" s="182" t="str"><f>Translation!A64</f><v>Cooking</v></c><c r="C99" s="185"><f t="shared" si="14"/><v>512.05706881205163</v></c><c r="D99" s="185"><f t="shared" si="15"/><v>0</v></c><c r="E99" s="185"><f t="shared" si="16"/><v>0</v></c><c r="F99" s="64"><f t="shared" si="8"/><v>512.05706881205163</v></c><c r="G99" s="185"><f>'CO2 factors'!C$7*G21</f><v>0</v></c><c r="H99" s="185"><f>'CO2 factors'!D$7*H21</f><v>0</v></c><c r="I99" s="185"><f>'CO2 factors'!E$7*I21</f><v>0</v></c><c r="J99" s="185"><f>'CO2 factors'!F$7*J21</f><v>82.267734339857896</v></c><c r="K99" s="185"><f>'CO2 factors'!G$7*K21</f><v>0</v></c><c r="L99" s="185"><f>'CO2 factors'!H$7*L21</f><v>0</v></c><c r="M99" s="64"><f t="shared" si="10"/><v>82.267734339857896</v></c><c r="N99" s="185"><f>'CO2 factors'!J$7*N21</f><v>0</v></c><c r="O99" s="185"><f>'CO2 factors'!K$7*O21</f><v>0</v></c><c r="P99" s="185"><f>'CO2 factors'!L$7*P21</f><v>0</v></c><c r="Q99" s="185"><f>'CO2 factors'!M$7*Q21</f><v>0</v></c><c r="R99" s="185"><f>'CO2 factors'!N$7*R21</f><v>0</v></c><c r="S99" s="185"><f>'CO2 factors'!O$7*S21</f><v>0</v></c><c r="T99" s="64"><f t="shared" si="12"/><v>0</v></c><c r="U99" s="64"><f t="shared" si="13"/><v>594.32480315190946</v></c></row><row r="100" spans="1:21" s="21" customFormat="1" ht="15.75"><c r="A100" s="22"/><c r="B100" s="182" t="str"><f>Translation!A65</f><v>Refrigerator and freezers</v></c><c r="C100" s="185"><f t="shared" si="14"/><v>718.6765878063884</v></c><c r="D100" s="185"><f t="shared" si="15"/><v>0</v></c><c r="E100" s="185"><f t="shared" si="16"/><v>0</v></c><c r="F100" s="64"><f t="shared" si="8"/><v>718.6765878063884</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718.6765878063884</v></c></row><row r="101" spans="1:21" s="21" customFormat="1" ht="15.75"><c r="A101" s="22"/><c r="B101" s="182" t="str"><f>Translation!A66</f><v>Laundry machines and dryers</v></c><c r="C101" s="185"><f t="shared" si="14"/><v>43.73967996948992</v></c><c r="D101" s="185"><f t="shared" si="15"/><v>0</v></c><c r="E101" s="185"><f t="shared" si="16"/><v>0</v></c><c r="F101" s="64"><f t="shared" si="8"/><v>43.73967996948992</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43.73967996948992</v></c></row><row r="102" spans="1:21" s="21" customFormat="1" ht="15.75"><c r="A102" s="22"/><c r="B102" s="182" t="str"><f>Translation!A67</f><v>Dish washing</v></c><c r="C102" s="185"><f t="shared" si="14"/><v>61.235551957285878</v></c><c r="D102" s="185"><f t="shared" si="15"/><v>0</v></c><c r="E102" s="185"><f t="shared" si="16"/><v>0</v></c><c r="F102" s="64"><f t="shared" si="8"/><v>61.235551957285878</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61.235551957285878</v></c></row><row r="103" spans="1:21" s="21" customFormat="1" ht="15.75"><c r="A103" s="22"/><c r="B103" s="182" t="str"><f>Translation!A68</f><v>Tv sets</v></c><c r="C103" s="185"><f t="shared" si="14"/><v>56.895229868005742</v></c><c r="D103" s="185"><f t="shared" si="15"/><v>0</v></c><c r="E103" s="185"><f t="shared" si="16"/><v>0</v></c><c r="F103" s="64"><f t="shared" si="8"/><v>56.895229868005742</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56.895229868005742</v></c></row><row r="104" spans="1:21" s="21" customFormat="1" ht="15.75"><c r="A104" s="22"/><c r="B104" s="182" t="str"><f>Translation!A69</f><v>Other electric appliances</v></c><c r="C104" s="185"><f t="shared" si="14"/><v>511.98394503938437</v></c><c r="D104" s="185"><f t="shared" si="15"/><v>0</v></c><c r="E104" s="185"><f t="shared" si="16"/><v>0</v></c><c r="F104" s="64"><f t="shared" si="8"/><v>511.98394503938437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511.98394503938437</v></c></row><row r="105" spans="1:21" s="21" customFormat="1" ht="15.75"><c r="A105" s="22"/><c r="B105" s="66" t="str"><f>Translation!A70</f><v>PRIMARY SECTOR</v></c><c r="C105" s="64"><f>SUM(C106:C107)</f><v>799.52519715572112</v></c><c r="D105" s="64"><f>SUM(D106:D107)</f><v>0</v></c><c r="E105" s="64"><f>SUM(E106:E107)</f><v>0</v></c><c r="F105" s="64"><f t="shared" si="8"/><v>799.52519715572112</v></c><c r="G105" s="64"><f t="shared" ref="G105:L105" si="17">SUM(G106:G107)</f><v>0</v></c><c r="H105" s="64"><f t="shared" si="17"/><v>43.118263214734434</v></c><c r="I105" s="64"><f t="shared" si="17"/><v>0</v></c><c r="J105" s="64"><f t="shared" si="17"/><v>0</v></c><c r="K105" s="64"><f t="shared" si="17"/><v>0</v></c><c r="L105" s="64"><f t="shared" si="17"/><v>0</v></c><c r="M105" s="64"><f t="shared" si="10"/><v>43.118263214734434</v></c><c r="N105" s="64"><f t="shared" ref="N105:S105" si="18">SUM(N106:N107)</f><v>0</v></c><c r="O105" s="64"><f t="shared" si="18"/><v>0</v></c><c r="P105" s="64"><f t="shared" si="18"/><v>0</v></c><c r="Q105" s="64"><f t="shared" si="18"/><v>0</v></c><c r="R105" s="64"><f t="shared" si="18"/><v>0</v></c><c r="S105" s="64"><f t="shared" si="18"/><v>0</v></c><c r="T105" s="64"><f t="shared" si="12"/><v>0</v></c><c r="U105" s="64"><f t="shared" si="13"/><v>842.6434603704555</v></c></row><row r="106" spans="1:21" s="21" customFormat="1" ht="15.75"><c r="A106" s="22"/><c r="B106" s="183" t="str"><f>Translation!A71</f><v>Agriculture, forestry and fishing</v></c><c r="C106" s="185"><f>IF(AND(C$48&gt;0,($S$133+$V$143)&gt;0), ($S$133+$V$143)/C$48,0)*C28</f><v>799.52519715572112</v></c><c r="D106" s="185"><f>IF(AND(D$48&gt;0,$S$134&gt;0), ($S$134)/D$48,0)*D28</f><v>0</v></c><c r="E106" s="185"><f>IF(AND(E$48&gt;0,$S$135&gt;0), ($S$135)/E$48,0)*E28</f><v>0</v></c><c r="F106" s="64"><f t="shared" si="8"/><v>799.52519715572112</v></c><c r="G106" s="185"><f>'CO2 factors'!C$7*G28</f><v>0</v></c><c r="H106" s="185"><f>'CO2 factors'!D$7*H28</f><v>43.118263214734434</v></c><c r="I106" s="185"><f>'CO2 factors'!E$7*I28</f><v>0</v></c><c r="J106" s="185"><f>'CO2 factors'!F$7*J28</f><v>0</v></c><c r="K106" s="185"><f>'CO2 factors'!G$7*K28</f><v>0</v></c><c r="L106" s="185"><f>'CO2 factors'!H$7*L28</f><v>0</v></c><c r="M106" s="64"><f t="shared" si="10"/><v>43.118263214734434</v></c><c r="N106" s="185"><f>'CO2 factors'!J$7*N28</f><v>0</v></c><c r="O106" s="185"><f>'CO2 factors'!K$7*O28</f><v>0</v></c><c r="P106" s="185"><f>'CO2 factors'!L$7*P28</f><v>0</v></c><c r="Q106" s="185"><f>'CO2 factors'!M$7*Q28</f><v>0</v></c><c r="R106" s="185"><f>'CO2 factors'!N$7*R28</f><v>0</v></c><c r="S106" s="185"><f>'CO2 factors'!O$7*S28</f><v>0</v></c><c r="T106" s="64"><f t="shared" si="12"/><v>0</v></c><c r="U106" s="64"><f t="shared" si="13"/><v>842.6434603704555</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389.1114202297822</v></c><c r="D108" s="64"><f>SUM(D109:D111)</f><v>0</v></c><c r="E108" s="64"><f>SUM(E109:E111)</f><v>0</v></c><c r="F108" s="64"><f t="shared" si="8"/><v>389.1114202297822</v></c><c r="G108" s="64"><f t="shared" ref="G108:L108" si="19">SUM(G109:G111)</f><v>41.265981888704708</v></c><c r="H108" s="64"><f t="shared" si="19"/><v>41.276315099665212</v></c><c r="I108" s="64"><f t="shared" si="19"/><v>0</v></c><c r="J108" s="64"><f t="shared" si="19"/><v>2.4965190435136519</v></c><c r="K108" s="64"><f t="shared" si="19"/><v>0</v></c><c r="L108" s="64"><f t="shared" si="19"/><v>0</v></c><c r="M108" s="64"><f t="shared" si="10"/><v>85.03881603188357</v></c><c r="N108" s="64"><f t="shared" ref="N108:S108" si="20">SUM(N109:N111)</f><v>0</v></c><c r="O108" s="64"><f t="shared" si="20"/><v>0</v></c><c r="P108" s="64"><f t="shared" si="20"/><v>0</v></c><c r="Q108" s="64"><f t="shared" si="20"/><v>0</v></c><c r="R108" s="64"><f t="shared" si="20"/><v>0</v></c><c r="S108" s="64"><f t="shared" si="20"/><v>0</v></c><c r="T108" s="64"><f t="shared" si="12"/><v>0</v></c><c r="U108" s="64"><f t="shared" si="13"/><v>474.15023626166578</v></c></row><row r="109" spans="1:21" s="21" customFormat="1" ht="15.75"><c r="A109" s="22"/><c r="B109" s="183" t="str"><f>Translation!A74</f><v>Manufacturing</v></c><c r="C109" s="185"><f>IF(AND(C$48&gt;0,($S$133+$V$143)&gt;0), ($S$133+$V$143)/C$48,0)*C31</f><v>118.63153055786043</v></c><c r="D109" s="185"><f>IF(AND(D$48&gt;0,$S$134&gt;0), ($S$134)/D$48,0)*D31</f><v>0</v></c><c r="E109" s="185"><f>IF(AND(E$48&gt;0,$S$135&gt;0), ($S$135)/E$48,0)*E31</f><v>0</v></c><c r="F109" s="64"><f t="shared" si="8"/><v>118.63153055786043</v></c><c r="G109" s="185"><f>'CO2 factors'!C$7*G31</f><v>20.632990944352354</v></c><c r="H109" s="185"><f>'CO2 factors'!D$7*H31</f><v>20.638157549832606</v></c><c r="I109" s="185"><f>'CO2 factors'!E$7*I31</f><v>0</v></c><c r="J109" s="185"><f>'CO2 factors'!F$7*J31</f><v>2.4965190435136519</v></c><c r="K109" s="185"><f>'CO2 factors'!G$7*K31</f><v>0</v></c><c r="L109" s="185"><f>'CO2 factors'!H$7*L31</f><v>0</v></c><c r="M109" s="64"><f t="shared" si="10"/><v>43.767667537698607</v></c><c r="N109" s="185"><f>'CO2 factors'!J$7*N31</f><v>0</v></c><c r="O109" s="185"><f>'CO2 factors'!K$7*O31</f><v>0</v></c><c r="P109" s="185"><f>'CO2 factors'!L$7*P31</f><v>0</v></c><c r="Q109" s="185"><f>'CO2 factors'!M$7*Q31</f><v>0</v></c><c r="R109" s="185"><f>'CO2 factors'!N$7*R31</f><v>0</v></c><c r="S109" s="185"><f>'CO2 factors'!O$7*S31</f><v>0</v></c><c r="T109" s="64"><f t="shared" si="12"/><v>0</v></c><c r="U109" s="64"><f t="shared" si="13"/><v>162.39919809555903</v></c></row><row r="110" spans="1:21" s="21" customFormat="1" ht="30"><c r="A110" s="22"/><c r="B110" s="183" t="str"><f>Translation!A75</f><v>Water supply, sewerage, waste management and remediation activities</v></c><c r="C110" s="185"><f>IF(AND(C$48&gt;0,($S$133+$V$143)&gt;0), ($S$133+$V$143)/C$48,0)*C32</f><v>151.84835911406134</v></c><c r="D110" s="185"><f>IF(AND(D$48&gt;0,$S$134&gt;0), ($S$134)/D$48,0)*D32</f><v>0</v></c><c r="E110" s="185"><f>IF(AND(E$48&gt;0,$S$135&gt;0), ($S$135)/E$48,0)*E32</f><v>0</v></c><c r="F110" s="64"><f t="shared" si="8"/><v>151.84835911406134</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151.84835911406134</v></c></row><row r="111" spans="1:21" s="21" customFormat="1" ht="15.75"><c r="A111" s="22"/><c r="B111" s="183" t="str"><f>Translation!A76</f><v>Construction</v></c><c r="C111" s="185"><f>IF(AND(C$48&gt;0,($S$133+$V$143)&gt;0), ($S$133+$V$143)/C$48,0)*C33</f><v>118.63153055786043</v></c><c r="D111" s="185"><f>IF(AND(D$48&gt;0,$S$134&gt;0), ($S$134)/D$48,0)*D33</f><v>0</v></c><c r="E111" s="185"><f>IF(AND(E$48&gt;0,$S$135&gt;0), ($S$135)/E$48,0)*E33</f><v>0</v></c><c r="F111" s="64"><f t="shared" si="8"/><v>118.63153055786043</v></c><c r="G111" s="75"><f>'CO2 factors'!C$7*G33</f><v>20.632990944352354</v></c><c r="H111" s="75"><f>'CO2 factors'!D$7*H33</f><v>20.638157549832606</v></c><c r="I111" s="75"><f>'CO2 factors'!E$7*I33</f><v>0</v></c><c r="J111" s="75"><f>'CO2 factors'!F$7*J33</f><v>0</v></c><c r="K111" s="75"><f>'CO2 factors'!G$7*K33</f><v>0</v></c><c r="L111" s="75"><f>'CO2 factors'!H$7*L33</f><v>0</v></c><c r="M111" s="64"><f t="shared" si="10"/><v>41.271148494184956</v></c><c r="N111" s="75"><f>'CO2 factors'!J$7*N33</f><v>0</v></c><c r="O111" s="75"><f>'CO2 factors'!K$7*O33</f><v>0</v></c><c r="P111" s="75"><f>'CO2 factors'!L$7*P33</f><v>0</v></c><c r="Q111" s="75"><f>'CO2 factors'!M$7*Q33</f><v>0</v></c><c r="R111" s="75"><f>'CO2 factors'!N$7*R33</f><v>0</v></c><c r="S111" s="75"><f>'CO2 factors'!O$7*S33</f><v>0</v></c><c r="T111" s="64"><f t="shared" si="12"/><v>0</v></c><c r="U111" s="64"><f t="shared" si="13"/><v>159.90267905204539</v></c></row><row r="112" spans="1:21" s="21" customFormat="1" ht="15.75"><c r="A112" s="22"/><c r="B112" s="61" t="str"><f>Translation!A77</f><v>TERTIARY SECTOR</v></c><c r="C112" s="64"><f>SUM(C113:C120)</f><v>6144.1509428318795</v></c><c r="D112" s="64"><f>SUM(D113:D120)</f><v>0</v></c><c r="E112" s="64"><f>SUM(E113:E120)</f><v>0</v></c><c r="F112" s="64"><f t="shared" si="8"/><v>6144.1509428318795</v></c><c r="G112" s="64"><f t="shared" ref="G112:L112" si="21">SUM(G113:G120)</f><v>0</v></c><c r="H112" s="64"><f t="shared" si="21"/><v>675.10552592845977</v></c><c r="I112" s="64"><f t="shared" si="21"/><v>0</v></c><c r="J112" s="64"><f t="shared" si="21"/><v>21.238710138809843</v></c><c r="K112" s="64"><f t="shared" si="21"/><v>0</v></c><c r="L112" s="64"><f t="shared" si="21"/><v>0</v></c><c r="M112" s="64"><f t="shared" si="10"/><v>696.34423606726966</v></c><c r="N112" s="64"><f t="shared" ref="N112:S112" si="22">SUM(N113:N120)</f><v>0</v></c><c r="O112" s="64"><f t="shared" si="22"/><v>0</v></c><c r="P112" s="64"><f t="shared" si="22"/><v>0</v></c><c r="Q112" s="64"><f t="shared" si="22"/><v>0</v></c><c r="R112" s="64"><f t="shared" si="22"/><v>0</v></c><c r="S112" s="64"><f t="shared" si="22"/><v>0</v></c><c r="T112" s="64"><f t="shared" si="12"/><v>0</v></c><c r="U112" s="64"><f t="shared" si="13"/><v>6840.4951788991493</v></c></row><row r="113" spans="1:23" s="21" customFormat="1" ht="30"><c r="A113" s="22"/><c r="B113" s="183" t="str"><f>Translation!A78</f><v xml:space="preserve">Wholesale and retail trade; repair of motor vehicles and motorcycles </v></c><c r="C113" s="185"><f t="shared" ref="C113:C120" si="23">IF(AND(C$48&gt;0,($S$133+$V$143)&gt;0), ($S$133+$V$143)/C$48,0)*C35</f><v>1759.2387382536053</v></c><c r="D113" s="185"><f t="shared" ref="D113:D120" si="24">IF(AND(D$48&gt;0,$S$134&gt;0), ($S$134)/D$48,0)*D35</f><v>0</v></c><c r="E113" s="185"><f t="shared" ref="E113:E120" si="25">IF(AND(E$48&gt;0,$S$135&gt;0), ($S$135)/E$48,0)*E35</f><v>0</v></c><c r="F113" s="64"><f t="shared" si="8"/><v>1759.2387382536053</v></c><c r="G113" s="185"><f>'CO2 factors'!C$7*G35</f><v>0</v></c><c r="H113" s="185"><f>'CO2 factors'!D$7*H35</f><v>304.57894056867656</v></c><c r="I113" s="185"><f>'CO2 factors'!E$7*I35</f><v>0</v></c><c r="J113" s="185"><f>'CO2 factors'!F$7*J35</f><v>0</v></c><c r="K113" s="185"><f>'CO2 factors'!G$7*K35</f><v>0</v></c><c r="L113" s="185"><f>'CO2 factors'!H$7*L35</f><v>0</v></c><c r="M113" s="64"><f t="shared" si="10"/><v>304.57894056867656</v></c><c r="N113" s="185"><f>'CO2 factors'!J$7*N35</f><v>0</v></c><c r="O113" s="185"><f>'CO2 factors'!K$7*O35</f><v>0</v></c><c r="P113" s="185"><f>'CO2 factors'!L$7*P35</f><v>0</v></c><c r="Q113" s="185"><f>'CO2 factors'!M$7*Q35</f><v>0</v></c><c r="R113" s="185"><f>'CO2 factors'!N$7*R35</f><v>0</v></c><c r="S113" s="185"><f>'CO2 factors'!O$7*S35</f><v>0</v></c><c r="T113" s="64"><f t="shared" si="12"/><v>0</v></c><c r="U113" s="64"><f t="shared" si="13"/><v>2063.8176788222818</v></c></row><row r="114" spans="1:23" s="21" customFormat="1" ht="15.75"><c r="A114" s="22"/><c r="B114" s="183" t="str"><f>Translation!A79</f><v>Accommodation and food service activities</v></c><c r="C114" s="185"><f t="shared" si="23"/><v>2847.4674698624121</v></c><c r="D114" s="185"><f t="shared" si="24"/><v>0</v></c><c r="E114" s="185"><f t="shared" si="25"/><v>0</v></c><c r="F114" s="64"><f t="shared" si="8"/><v>2847.4674698624121</v></c><c r="G114" s="185"><f>'CO2 factors'!C$7*G36</f><v>0</v></c><c r="H114" s="185"><f>'CO2 factors'!D$7*H36</f><v>308.59968867458105</v></c><c r="I114" s="185"><f>'CO2 factors'!E$7*I36</f><v>0</v></c><c r="J114" s="185"><f>'CO2 factors'!F$7*J36</f><v>21.238710138809843</v></c><c r="K114" s="185"><f>'CO2 factors'!G$7*K36</f><v>0</v></c><c r="L114" s="185"><f>'CO2 factors'!H$7*L36</f><v>0</v></c><c r="M114" s="64"><f t="shared" si="10"/><v>329.83839881339088</v></c><c r="N114" s="185"><f>'CO2 factors'!J$7*N36</f><v>0</v></c><c r="O114" s="185"><f>'CO2 factors'!K$7*O36</f><v>0</v></c><c r="P114" s="185"><f>'CO2 factors'!L$7*P36</f><v>0</v></c><c r="Q114" s="185"><f>'CO2 factors'!M$7*Q36</f><v>0</v></c><c r="R114" s="185"><f>'CO2 factors'!N$7*R36</f><v>0</v></c><c r="S114" s="185"><f>'CO2 factors'!O$7*S36</f><v>0</v></c><c r="T114" s="64"><f t="shared" si="12"/><v>0</v></c><c r="U114" s="64"><f t="shared" si="13"/><v>3177.3058686758031</v></c></row><row r="115" spans="1:23" s="21" customFormat="1" ht="15.75"><c r="A115" s="22"/><c r="B115" s="183" t="str"><f>Translation!A80</f><v>General public administration and social security</v></c><c r="C115" s="185"><f t="shared" si="23"/><v>432.4074587802329</v></c><c r="D115" s="185"><f t="shared" si="24"/><v>0</v></c><c r="E115" s="185"><f t="shared" si="25"/><v>0</v></c><c r="F115" s="64"><f t="shared" si="8"/><v>432.4074587802329</v></c><c r="G115" s="185"><f>'CO2 factors'!C$7*G37</f><v>0</v></c><c r="H115" s="185"><f>'CO2 factors'!D$7*H37</f><v>13.396714936866799</v></c><c r="I115" s="185"><f>'CO2 factors'!E$7*I37</f><v>0</v></c><c r="J115" s="185"><f>'CO2 factors'!F$7*J37</f><v>0</v></c><c r="K115" s="185"><f>'CO2 factors'!G$7*K37</f><v>0</v></c><c r="L115" s="185"><f>'CO2 factors'!H$7*L37</f><v>0</v></c><c r="M115" s="64"><f t="shared" si="10"/><v>13.396714936866799</v></c><c r="N115" s="185"><f>'CO2 factors'!J$7*N37</f><v>0</v></c><c r="O115" s="185"><f>'CO2 factors'!K$7*O37</f><v>0</v></c><c r="P115" s="185"><f>'CO2 factors'!L$7*P37</f><v>0</v></c><c r="Q115" s="185"><f>'CO2 factors'!M$7*Q37</f><v>0</v></c><c r="R115" s="185"><f>'CO2 factors'!N$7*R37</f><v>0</v></c><c r="S115" s="185"><f>'CO2 factors'!O$7*S37</f><v>0</v></c><c r="T115" s="64"><f t="shared" si="12"/><v>0</v></c><c r="U115" s="64"><f t="shared" si="13"/><v>445.80417371709967</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322.8539418263519</v></c><c r="D117" s="185"><f t="shared" si="24"/><v>0</v></c><c r="E117" s="185"><f t="shared" si="25"/><v>0</v></c><c r="F117" s="64"><f t="shared" si="8"/><v>322.8539418263519</v></c><c r="G117" s="185"><f>'CO2 factors'!C$7*G39</f><v>0</v></c><c r="H117" s="185"><f>'CO2 factors'!D$7*H39</f><v>59.680441661151498</v></c><c r="I117" s="185"><f>'CO2 factors'!E$7*I39</f><v>0</v></c><c r="J117" s="185"><f>'CO2 factors'!F$7*J39</f><v>0</v></c><c r="K117" s="185"><f>'CO2 factors'!G$7*K39</f><v>0</v></c><c r="L117" s="185"><f>'CO2 factors'!H$7*L39</f><v>0</v></c><c r="M117" s="64"><f t="shared" si="10"/><v>59.680441661151498</v></c><c r="N117" s="185"><f>'CO2 factors'!J$7*N39</f><v>0</v></c><c r="O117" s="185"><f>'CO2 factors'!K$7*O39</f><v>0</v></c><c r="P117" s="185"><f>'CO2 factors'!L$7*P39</f><v>0</v></c><c r="Q117" s="185"><f>'CO2 factors'!M$7*Q39</f><v>0</v></c><c r="R117" s="185"><f>'CO2 factors'!N$7*R39</f><v>0</v></c><c r="S117" s="185"><f>'CO2 factors'!O$7*S39</f><v>0</v></c><c r="T117" s="64"><f t="shared" si="12"/><v>0</v></c><c r="U117" s="64"><f t="shared" si="13"/><v>382.53438348750342</v></c></row><row r="118" spans="1:23" s="21" customFormat="1" ht="15.75"><c r="A118" s="22"/><c r="B118" s="183" t="str"><f>Translation!A83</f><v>Human health and social work activities</v></c><c r="C118" s="185"><f t="shared" si="23"/><v>19.025883882282219</v></c><c r="D118" s="185"><f t="shared" si="24"/><v>0</v></c><c r="E118" s="185"><f t="shared" si="25"/><v>0</v></c><c r="F118" s="64"><f t="shared" si="8"/><v>19.025883882282219</v></c><c r="G118" s="185"><f>'CO2 factors'!C$7*G40</f><v>0</v></c><c r="H118" s="185"><f>'CO2 factors'!D$7*H40</f><v>-5.7285480290180706</v></c><c r="I118" s="185"><f>'CO2 factors'!E$7*I40</f><v>0</v></c><c r="J118" s="185"><f>'CO2 factors'!F$7*J40</f><v>0</v></c><c r="K118" s="185"><f>'CO2 factors'!G$7*K40</f><v>0</v></c><c r="L118" s="185"><f>'CO2 factors'!H$7*L40</f><v>0</v></c><c r="M118" s="64"><f t="shared" si="10"/><v>-5.7285480290180706</v></c><c r="N118" s="185"><f>'CO2 factors'!J$7*N40</f><v>0</v></c><c r="O118" s="185"><f>'CO2 factors'!K$7*O40</f><v>0</v></c><c r="P118" s="185"><f>'CO2 factors'!L$7*P40</f><v>0</v></c><c r="Q118" s="185"><f>'CO2 factors'!M$7*Q40</f><v>0</v></c><c r="R118" s="185"><f>'CO2 factors'!N$7*R40</f><v>0</v></c><c r="S118" s="185"><f>'CO2 factors'!O$7*S40</f><v>0</v></c><c r="T118" s="64"><f t="shared" si="12"/><v>0</v></c><c r="U118" s="64"><f t="shared" si="13"/><v>13.297335853264148</v></c></row><row r="119" spans="1:23" s="21" customFormat="1" ht="15.75"><c r="A119" s="22"/><c r="B119" s="183" t="str"><f>Translation!A84</f><v>Other services</v></c><c r="C119" s="185"><f t="shared" si="23"/><v>573.16028029091137</v></c><c r="D119" s="185"><f t="shared" si="24"/><v>0</v></c><c r="E119" s="185"><f t="shared" si="25"/><v>0</v></c><c r="F119" s="64"><f t="shared" si="8"/><v>573.16028029091137</v></c><c r="G119" s="185"><f>'CO2 factors'!C$7*G41</f><v>0</v></c><c r="H119" s="185"><f>'CO2 factors'!D$7*H41</f><v>-5.421711883798058</v></c><c r="I119" s="185"><f>'CO2 factors'!E$7*I41</f><v>0</v></c><c r="J119" s="185"><f>'CO2 factors'!F$7*J41</f><v>0</v></c><c r="K119" s="185"><f>'CO2 factors'!G$7*K41</f><v>0</v></c><c r="L119" s="185"><f>'CO2 factors'!H$7*L41</f><v>0</v></c><c r="M119" s="64"><f t="shared" si="10"/><v>-5.421711883798058</v></c><c r="N119" s="185"><f>'CO2 factors'!J$7*N41</f><v>0</v></c><c r="O119" s="185"><f>'CO2 factors'!K$7*O41</f><v>0</v></c><c r="P119" s="185"><f>'CO2 factors'!L$7*P41</f><v>0</v></c><c r="Q119" s="185"><f>'CO2 factors'!M$7*Q41</f><v>0</v></c><c r="R119" s="185"><f>'CO2 factors'!N$7*R41</f><v>0</v></c><c r="S119" s="185"><f>'CO2 factors'!O$7*S41</f><v>0</v></c><c r="T119" s="64"><f t="shared" si="12"/><v>0</v></c><c r="U119" s="64"><f t="shared" si="13"/><v>567.73856840711335</v></c></row><row r="120" spans="1:23" s="21" customFormat="1" ht="15.75"><c r="A120" s="22"/><c r="B120" s="183" t="str"><f>Translation!A85</f><v>Public lighting</v></c><c r="C120" s="185"><f t="shared" si="23"/><v>189.99716993608533</v></c><c r="D120" s="185"><f t="shared" si="24"/><v>0</v></c><c r="E120" s="185"><f t="shared" si="25"/><v>0</v></c><c r="F120" s="64"><f t="shared" si="8"/><v>189.99716993608533</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189.99716993608533</v></c></row><row r="121" spans="1:23" s="21" customFormat="1" ht="15.75"><c r="A121" s="22"/><c r="B121" s="61" t="str"><f>Translation!A86</f><v>TRANSPORTS</v></c><c r="C121" s="64"><f>SUM(C122:C125)</f><v>253.10361599353115</v></c><c r="D121" s="64"><f>SUM(D122:D125)</f><v>0</v></c><c r="E121" s="64"><f>SUM(E122:E125)</f><v>0</v></c><c r="F121" s="64"><f t="shared" si="8"/><v>253.10361599353115</v></c><c r="G121" s="64"><f t="shared" ref="G121:L121" si="26">SUM(G122:G125)</f><v>0</v></c><c r="H121" s="64"><f t="shared" si="26"/><v>208.88791621882211</v></c><c r="I121" s="64"><f t="shared" si="26"/><v>247.25947074223828</v></c><c r="J121" s="64"><f t="shared" si="26"/><v>0</v></c><c r="K121" s="64"><f t="shared" si="26"/><v>0</v></c><c r="L121" s="64"><f t="shared" si="26"/><v>0</v></c><c r="M121" s="64"><f t="shared" si="10"/><v>456.14738696106042</v></c><c r="N121" s="64"><f t="shared" ref="N121:S121" si="27">SUM(N122:N125)</f><v>0</v></c><c r="O121" s="64"><f t="shared" si="27"/><v>0</v></c><c r="P121" s="64"><f t="shared" si="27"/><v>0</v></c><c r="Q121" s="64"><f t="shared" si="27"/><v>0</v></c><c r="R121" s="64"><f t="shared" si="27"/><v>0</v></c><c r="S121" s="64"><f t="shared" si="27"/><v>0</v></c><c r="T121" s="64"><f t="shared" si="12"/><v>0</v></c><c r="U121" s="64"><f t="shared" si="13"/><v>709.25100295459151</v></c></row><row r="122" spans="1:23" s="21" customFormat="1" ht="30"><c r="A122" s="22"/><c r="B122" s="183" t="str"><f>Translation!A87</f><v>Passenger transport by road (public transport, taxi, tourism, transfers, etc.)</v></c><c r="C122" s="185"><f>IF(AND(C$48&gt;0,($S$133+$V$143)&gt;0), ($S$133+$V$143)/C$48,0)*C44</f><v>1.0074121254729538</v></c><c r="D122" s="185"><f>IF(AND(D$48&gt;0,$S$134&gt;0), ($S$134)/D$48,0)*D44</f><v>0</v></c><c r="E122" s="185"><f>IF(AND(E$48&gt;0,$S$135&gt;0), ($S$135)/E$48,0)*E44</f><v>0</v></c><c r="F122" s="64"><f t="shared" si="8"/><v>1.0074121254729538</v></c><c r="G122" s="185"><f>'CO2 factors'!C$7*G44</f><v>0</v></c><c r="H122" s="185"><f>'CO2 factors'!D$7*H44</f><v>1.7748185216820827</v></c><c r="I122" s="185"><f>'CO2 factors'!E$7*I44</f><v>0.38165277744799858</v></c><c r="J122" s="185"><f>'CO2 factors'!F$7*J44</f><v>0</v></c><c r="K122" s="185"><f>'CO2 factors'!G$7*K44</f><v>0</v></c><c r="L122" s="185"><f>'CO2 factors'!H$7*L44</f><v>0</v></c><c r="M122" s="64"><f t="shared" si="10"/><v>2.1564712991300814</v></c><c r="N122" s="185"><f>'CO2 factors'!J$7*N44</f><v>0</v></c><c r="O122" s="185"><f>'CO2 factors'!K$7*O44</f><v>0</v></c><c r="P122" s="185"><f>'CO2 factors'!L$7*P44</f><v>0</v></c><c r="Q122" s="185"><f>'CO2 factors'!M$7*Q44</f><v>0</v></c><c r="R122" s="185"><f>'CO2 factors'!N$7*R44</f><v>0</v></c><c r="S122" s="185"><f>'CO2 factors'!O$7*S44</f><v>0</v></c><c r="T122" s="64"><f t="shared" si="12"/><v>0</v></c><c r="U122" s="64"><f t="shared" si="13"/><v>3.1638834246030352</v></c></row><row r="123" spans="1:23" s="21" customFormat="1" ht="15.75"><c r="A123" s="22"/><c r="B123" s="183" t="str"><f>Translation!A88</f><v>Freight transport by road and removal services</v></c><c r="C123" s="185"><f>IF(AND(C$48&gt;0,($S$133+$V$143)&gt;0), ($S$133+$V$143)/C$48,0)*C45</f><v>93.50339572703119</v></c><c r="D123" s="185"><f>IF(AND(D$48&gt;0,$S$134&gt;0), ($S$134)/D$48,0)*D45</f><v>0</v></c><c r="E123" s="185"><f>IF(AND(E$48&gt;0,$S$135&gt;0), ($S$135)/E$48,0)*E45</f><v>0</v></c><c r="F123" s="64"><f t="shared" si="8"/><v>93.50339572703119</v></c><c r="G123" s="185"><f>'CO2 factors'!C$7*G45</f><v>0</v></c><c r="H123" s="185"><f>'CO2 factors'!D$7*H45</f><v>154.79474138408108</v></c><c r="I123" s="185"><f>'CO2 factors'!E$7*I45</f><v>33.286695096909547</v></c><c r="J123" s="185"><f>'CO2 factors'!F$7*J45</f><v>0</v></c><c r="K123" s="185"><f>'CO2 factors'!G$7*K45</f><v>0</v></c><c r="L123" s="185"><f>'CO2 factors'!H$7*L45</f><v>0</v></c><c r="M123" s="64"><f t="shared" si="10"/><v>188.08143648099062</v></c><c r="N123" s="185"><f>'CO2 factors'!J$7*N45</f><v>0</v></c><c r="O123" s="185"><f>'CO2 factors'!K$7*O45</f><v>0</v></c><c r="P123" s="185"><f>'CO2 factors'!L$7*P45</f><v>0</v></c><c r="Q123" s="185"><f>'CO2 factors'!M$7*Q45</f><v>0</v></c><c r="R123" s="185"><f>'CO2 factors'!N$7*R45</f><v>0</v></c><c r="S123" s="185"><f>'CO2 factors'!O$7*S45</f><v>0</v></c><c r="T123" s="64"><f t="shared" si="12"/><v>0</v></c><c r="U123" s="64"><f t="shared" si="13"/><v>281.58483220802179</v></c></row><row r="124" spans="1:23" s="21" customFormat="1" ht="15.75"><c r="A124" s="22"/><c r="B124" s="183" t="str"><f>Translation!A89</f><v>Other fleet for public and private services</v></c><c r="C124" s="185"><f>IF(AND(C$48&gt;0,($S$133+$V$143)&gt;0), ($S$133+$V$143)/C$48,0)*C46</f><v>5.7500786433100837</v></c><c r="D124" s="185"><f>IF(AND(D$48&gt;0,$S$134&gt;0), ($S$134)/D$48,0)*D46</f><v>0</v></c><c r="E124" s="185"><f>IF(AND(E$48&gt;0,$S$135&gt;0), ($S$135)/E$48,0)*E46</f><v>0</v></c><c r="F124" s="64"><f t="shared" si="8"/><v>5.7500786433100837</v></c><c r="G124" s="185"><f>'CO2 factors'!C$7*G46</f><v>0</v></c><c r="H124" s="185"><f>'CO2 factors'!D$7*H46</f><v>0.81138688738423759</v></c><c r="I124" s="185"><f>'CO2 factors'!E$7*I46</f><v>9.0647550592660604</v></c><c r="J124" s="185"><f>'CO2 factors'!F$7*J46</f><v>0</v></c><c r="K124" s="185"><f>'CO2 factors'!G$7*K46</f><v>0</v></c><c r="L124" s="185"><f>'CO2 factors'!H$7*L46</f><v>0</v></c><c r="M124" s="64"><f t="shared" si="10"/><v>9.8761419466502982</v></c><c r="N124" s="185"><f>'CO2 factors'!J$7*N46</f><v>0</v></c><c r="O124" s="185"><f>'CO2 factors'!K$7*O46</f><v>0</v></c><c r="P124" s="185"><f>'CO2 factors'!L$7*P46</f><v>0</v></c><c r="Q124" s="185"><f>'CO2 factors'!M$7*Q46</f><v>0</v></c><c r="R124" s="185"><f>'CO2 factors'!N$7*R46</f><v>0</v></c><c r="S124" s="185"><f>'CO2 factors'!O$7*S46</f><v>0</v></c><c r="T124" s="64"><f t="shared" si="12"/><v>0</v></c><c r="U124" s="64"><f t="shared" si="13"/><v>15.626220589960383</v></c></row><row r="125" spans="1:23" s="21" customFormat="1" ht="15.75"><c r="A125" s="22"/><c r="B125" s="182" t="str"><f>Translation!A90</f><v>Private transports</v></c><c r="C125" s="185"><f>IF(AND(C$48&gt;0,($S$133+$V$143)&gt;0), ($S$133+$V$143)/C$48,0)*C47</f><v>152.8427294977169</v></c><c r="D125" s="185"><f>IF(AND(D$48&gt;0,$S$134&gt;0), ($S$134)/D$48,0)*D47</f><v>0</v></c><c r="E125" s="185"><f>IF(AND(E$48&gt;0,$S$135&gt;0), ($S$135)/E$48,0)*E47</f><v>0</v></c><c r="F125" s="64"><f t="shared" si="8"/><v>152.8427294977169</v></c><c r="G125" s="185"><f>'CO2 factors'!C$7*G47</f><v>0</v></c><c r="H125" s="185"><f>'CO2 factors'!D$7*H47</f><v>51.506969425674725</v></c><c r="I125" s="185"><f>'CO2 factors'!E$7*I47</f><v>204.52636780861468</v></c><c r="J125" s="185"><f>'CO2 factors'!F$7*J47</f><v>0</v></c><c r="K125" s="185"><f>'CO2 factors'!G$7*K47</f><v>0</v></c><c r="L125" s="185"><f>'CO2 factors'!H$7*L47</f><v>0</v></c><c r="M125" s="64"><f t="shared" si="10"/><v>256.03333723428943</v></c><c r="N125" s="185"><f>'CO2 factors'!J$7*N47</f><v>0</v></c><c r="O125" s="185"><f>'CO2 factors'!K$7*O47</f><v>0</v></c><c r="P125" s="185"><f>'CO2 factors'!L$7*P47</f><v>0</v></c><c r="Q125" s="185"><f>'CO2 factors'!M$7*Q47</f><v>0</v></c><c r="R125" s="185"><f>'CO2 factors'!N$7*R47</f><v>0</v></c><c r="S125" s="185"><f>'CO2 factors'!O$7*S47</f><v>0</v></c><c r="T125" s="64"><f t="shared" si="12"/><v>0</v></c><c r="U125" s="64"><f t="shared" si="13"/><v>408.87606673200634</v></c></row><row r="126" spans="1:23" s="21" customFormat="1" ht="15.75"><c r="A126" s="22"/><c r="B126" s="73" t="str"><f>Translation!A118</f><v>TOTAL FOR INTERNAL MARKET</v></c><c r="C126" s="65"><f>C95+C105+C108+C112+C121</f><v>14587.660796124575</v></c><c r="D126" s="65"><f>D95+D105+D108+D112+D121</f><v>0</v></c><c r="E126" s="65"><f>E95+E105+E108+E112+E121</f><v>0</v></c><c r="F126" s="64"><f t="shared" si="8"/><v>14587.660796124575</v></c><c r="G126" s="65"><f t="shared" ref="G126:L126" si="28">G95+G105+G108+G112+G121</f><v>41.265981888704708</v></c><c r="H126" s="65"><f t="shared" si="28"/><v>2489.3612200822276</v></c><c r="I126" s="65"><f t="shared" si="28"/><v>247.25947074223828</v></c><c r="J126" s="65"><f t="shared" si="28"/><v>294.47098393245727</v></c><c r="K126" s="65"><f t="shared" si="28"/><v>0</v></c><c r="L126" s="65"><f t="shared" si="28"/><v>0</v></c><c r="M126" s="64"><f t="shared" si="10"/><v>3072.3576566456277</v></c><c r="N126" s="65"><f t="shared" ref="N126:S126" si="29">N95+N105+N108+N112+N121</f><v>0</v></c><c r="O126" s="65"><f t="shared" si="29"/><v>0</v></c><c r="P126" s="65"><f t="shared" si="29"/><v>0</v></c><c r="Q126" s="65"><f t="shared" si="29"/><v>0</v></c><c r="R126" s="65"><f t="shared" si="29"/><v>0</v></c><c r="S126" s="65"><f t="shared" si="29"/><v>0</v></c><c r="T126" s="64"><f t="shared" si="12"/><v>0</v></c><c r="U126" s="64"><f t="shared" si="13"/><v>17660.018452770204</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321" t="str"><f>Translation!A124</f><v>Electricity</v></c><c r="V133" s="322"/><c r="W133" s="190"><f>IF(S59&gt;0,S133/S59,0)</f><v>0</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41.265981888704708</v></c><c r="D143" s="186"><f>'CO2 factors'!D$7*D79</f><v>2489.3612200822267</v></c><c r="E143" s="186"><f>'CO2 factors'!E$7*E79</f><v>247.25947074223828</v></c><c r="F143" s="186"><f>'CO2 factors'!F$7*F79</f><v>294.47098393245727</v></c><c r="G143" s="186"><f>'CO2 factors'!G$7*G79</f><v>0</v></c><c r="H143" s="186"><f>'CO2 factors'!H$7*H79</f><v>0</v></c><c r="I143" s="53"><f>SUM(C143:H143)</f><v>3072.3576566456268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14587.660796124577</v></c><c r="T143" s="186"><f>'CO2 factors'!T$7*T79</f><v>0</v></c><c r="U143" s="186"><f>$W$133*U79</f><v>0</v></c><c r="V143" s="53"><f>S143-T143-U143</f><v>14587.660796124577</v></c><c r="W143" s="186"><f>$W$134*W79</f><v>0</v></c><c r="X143" s="186"><f>$W$135*X79</f><v>0</v></c><c r="Y143" s="53"><f>I143+R143+V143-W143-X143</f><v>17660.018452770204</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Samothrace</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9.2379847668408832</v></c><c r="I14" s="221"/><c r="J14" s="221"><v>4.5317329002108533</v></c><c r="K14" s="323"><v>755.83183466616902</v></c><c r="L14" s="323"><v>10.283738842326581</v></c><c r="M14" s="324"><v>113.05440948805942</v></c></row><row r="15" spans="1:13" s="33" customFormat="1" ht="30"><c r="B15" s="340"/><c r="C15" s="218" t="s"><v>1690</v></c><c r="D15" s="218" t="s"><v>1689</v></c><c r="E15" s="219"><v>2012</v></c><c r="F15" s="220"><v>2020</v></c><c r="G15" s="221"/><c r="H15" s="221"><v>4.2899245881077759</v></c><c r="I15" s="221"><v>94.699914483267705</v></c><c r="J15" s="221"><v>71.976662805889248</v></c><c r="K15" s="342"/><c r="L15" s="342"/><c r="M15" s="344"/></row><row r="16" spans="1:13" s="33" customFormat="1" ht="45"><c r="B16" s="339" t="str"><f>Translation!A62</f><v>Heating and cooling</v></c><c r="C16" s="218" t="s"><v>1691</v></c><c r="D16" s="218" t="s"><v>1689</v></c><c r="E16" s="219"><v>2012</v></c><c r="F16" s="220"><v>2020</v></c><c r="G16" s="221"/><c r="H16" s="221"><v>43.51694120659441</v></c><c r="I16" s="221"/><c r="J16" s="221"><v>14.28968672099735</v></c><c r="K16" s="342"/><c r="L16" s="342"/><c r="M16" s="344"/></row><row r="17" spans="2:13" s="33" customFormat="1" ht="30"><c r="B17" s="341"/><c r="C17" s="218" t="s"><v>1692</v></c><c r="D17" s="218" t="s"><v>1689</v></c><c r="E17" s="219"><v>2012</v></c><c r="F17" s="220"><v>2020</v></c><c r="G17" s="221"/><c r="H17" s="221"><v>158.56476846750107</v></c><c r="I17" s="221"/><c r="J17" s="221"><v>-276.76306597109334</v></c><c r="K17" s="342"/><c r="L17" s="342"/><c r="M17" s="344"/></row><row r="18" spans="2:13" s="33" customFormat="1" ht="45"><c r="B18" s="341"/><c r="C18" s="218" t="s"><v>1693</v></c><c r="D18" s="218" t="s"><v>1689</v></c><c r="E18" s="219"><v>2012</v></c><c r="F18" s="220"><v>2020</v></c><c r="G18" s="221"/><c r="H18" s="221"><v>43.51694120659441</v></c><c r="I18" s="221"/><c r="J18" s="221"><v>14.28968672099735</v></c><c r="K18" s="342"/><c r="L18" s="342"/><c r="M18" s="344"/></row><row r="19" spans="2:13" s="33" customFormat="1" ht="45"><c r="B19" s="340"/><c r="C19" s="218" t="s"><v>1694</v></c><c r="D19" s="218" t="s"><v>1689</v></c><c r="E19" s="219"><v>2012</v></c><c r="F19" s="220"><v>2020</v></c><c r="G19" s="221"/><c r="H19" s="221"><v>400.92389359168982</v></c><c r="I19" s="221"/><c r="J19" s="221"><v>131.77459123698929</v></c><c r="K19" s="342"/><c r="L19" s="342"/><c r="M19" s="344"/></row><row r="20" spans="2:13" s="33" customFormat="1" ht="45"><c r="B20" s="339" t="str"><f>Translation!A63</f><v>Lighting</v></c><c r="C20" s="218" t="s"><v>1695</v></c><c r="D20" s="218" t="s"><v>1689</v></c><c r="E20" s="219"><v>2012</v></c><c r="F20" s="220"><v>2020</v></c><c r="G20" s="221"/><c r="H20" s="221"><v>2.7611994449738027</v></c><c r="I20" s="221"/><c r="J20" s="221"><v>3.1726181622745773</v></c><c r="K20" s="342"/><c r="L20" s="342"/><c r="M20" s="344"/></row><row r="21" spans="2:13" s="33" customFormat="1" ht="30"><c r="B21" s="340"/><c r="C21" s="218" t="s"><v>1696</v></c><c r="D21" s="218" t="s"><v>1689</v></c><c r="E21" s="219"><v>2012</v></c><c r="F21" s="220"><v>2020</v></c><c r="G21" s="221"/><c r="H21" s="221"><v>38.343735759550732</v></c><c r="I21" s="221"/><c r="J21" s="221"><v>44.056952387723463</v></c><c r="K21" s="342"/><c r="L21" s="342"/><c r="M21" s="344"/></row><row r="22" spans="2:13" s="33" customFormat="1" ht="45"><c r="B22" s="339" t="str"><f>Translation!A64</f><v>Cooking</v></c><c r="C22" s="218" t="s"><v>1697</v></c><c r="D22" s="218" t="s"><v>1689</v></c><c r="E22" s="219"><v>2012</v></c><c r="F22" s="220"><v>2020</v></c><c r="G22" s="221"/><c r="H22" s="221"><v>3.8696569563180674</v></c><c r="I22" s="221"/><c r="J22" s="221"><v>2.4711181533744417</v></c><c r="K22" s="342"/><c r="L22" s="342"/><c r="M22" s="344"/></row><row r="23" spans="2:13" s="33" customFormat="1" ht="45"><c r="B23" s="340"/><c r="C23" s="218" t="s"><v>1698</v></c><c r="D23" s="218" t="s"><v>1689</v></c><c r="E23" s="219"><v>2012</v></c><c r="F23" s="220"><v>2020</v></c><c r="G23" s="221"/><c r="H23" s="221"><v>35.694670296822245</v></c><c r="I23" s="221"/><c r="J23" s="221"><v>22.823111837220495</v></c><c r="K23" s="342"/><c r="L23" s="342"/><c r="M23" s="344"/></row><row r="24" spans="2:13" s="33" customFormat="1" ht="45"><c r="B24" s="339" t="str"><f>Translation!A65</f><v>Refrigerator and freezers</v></c><c r="C24" s="218" t="s"><v>1699</v></c><c r="D24" s="218" t="s"><v>1689</v></c><c r="E24" s="219"><v>2012</v></c><c r="F24" s="220"><v>2020</v></c><c r="G24" s="221"/><c r="H24" s="221"><v>2.7082610659191335</v></c><c r="I24" s="221"/><c r="J24" s="221"><v>3.1117919647412133</v></c><c r="K24" s="342"/><c r="L24" s="342"/><c r="M24" s="344"/></row><row r="25" spans="2:13" s="33" customFormat="1" ht="45"><c r="B25" s="340"/><c r="C25" s="218" t="s"><v>1700</v></c><c r="D25" s="218" t="s"><v>1689</v></c><c r="E25" s="219"><v>2012</v></c><c r="F25" s="220"><v>2020</v></c><c r="G25" s="221"/><c r="H25" s="221"><v>25.021520402918718</v></c><c r="I25" s="221"/><c r="J25" s="221"><v>28.749726942953405</v></c><c r="K25" s="342"/><c r="L25" s="342"/><c r="M25" s="344"/></row><row r="26" spans="2:13" s="33" customFormat="1" ht="45"><c r="B26" s="339" t="str"><f>Translation!A66</f><v>Laundry machines and dryers</v></c><c r="C26" s="218" t="s"><v>1699</v></c><c r="D26" s="218" t="s"><v>1689</v></c><c r="E26" s="219"><v>2012</v></c><c r="F26" s="220"><v>2020</v></c><c r="G26" s="221"/><c r="H26" s="221"><v>0.16482862292549624</v></c><c r="I26" s="221"/><c r="J26" s="221"><v>0.18938808774126098</v></c><c r="K26" s="342"/><c r="L26" s="342"/><c r="M26" s="344"/></row><row r="27" spans="2:13" s="33" customFormat="1" ht="45"><c r="B27" s="340"/><c r="C27" s="218" t="s"><v>1700</v></c><c r="D27" s="218" t="s"><v>1689</v></c><c r="E27" s="219"><v>2012</v></c><c r="F27" s="220"><v>2020</v></c><c r="G27" s="221"/><c r="H27" s="221"><v>1.5228453428741584</v></c><c r="I27" s="221"/><c r="J27" s="221"><v>1.7497492989625445</v></c><c r="K27" s="342"/><c r="L27" s="342"/><c r="M27" s="344"/></row><row r="28" spans="2:13" s="33" customFormat="1" ht="45"><c r="B28" s="339" t="str"><f>Translation!A67</f><v>Dish washing</v></c><c r="C28" s="218" t="s"><v>1699</v></c><c r="D28" s="218" t="s"><v>1689</v></c><c r="E28" s="219"><v>2012</v></c><c r="F28" s="220"><v>2020</v></c><c r="G28" s="221"/><c r="H28" s="221"><v>0.23076007209601812</v></c><c r="I28" s="221"/><c r="J28" s="221"><v>0.26514332283881636</v></c><c r="K28" s="342"/><c r="L28" s="342"/><c r="M28" s="344"/></row><row r="29" spans="2:13" s="33" customFormat="1" ht="45"><c r="B29" s="340"/><c r="C29" s="218" t="s"><v>1700</v></c><c r="D29" s="218" t="s"><v>1689</v></c><c r="E29" s="219"><v>2012</v></c><c r="F29" s="220"><v>2020</v></c><c r="G29" s="221"/><c r="H29" s="221"><v>2.1319834800249535</v></c><c r="I29" s="221"/><c r="J29" s="221"><v>2.4496490185483708</v></c><c r="K29" s="342"/><c r="L29" s="342"/><c r="M29" s="344"/></row><row r="30" spans="2:13" s="33" customFormat="1" ht="45"><c r="B30" s="339" t="str"><f>Translation!A68</f><v>Tv sets</v></c><c r="C30" s="218" t="s"><v>1699</v></c><c r="D30" s="218" t="s"><v>1689</v></c><c r="E30" s="219"><v>2012</v></c><c r="F30" s="220"><v>2020</v></c><c r="G30" s="221"/><c r="H30" s="221"><v>0.21440400105267246</v></c><c r="I30" s="221"/><c r="J30" s="221"><v>0.2463501972096209</v></c><c r="K30" s="342"/><c r="L30" s="342"/><c r="M30" s="344"/></row><row r="31" spans="2:13" s="33" customFormat="1" ht="45"><c r="B31" s="340"/><c r="C31" s="218" t="s"><v>1700</v></c><c r="D31" s="218" t="s"><v>1689</v></c><c r="E31" s="219"><v>2012</v></c><c r="F31" s="220"><v>2020</v></c><c r="G31" s="221"/><c r="H31" s="221"><v>1.9808703652306576</v></c><c r="I31" s="221"/><c r="J31" s="221"><v>2.2760200496498633</v></c><c r="K31" s="342"/><c r="L31" s="342"/><c r="M31" s="344"/></row><row r="32" spans="2:13" s="33" customFormat="1" ht="45"><c r="B32" s="35" t="str"><f>Translation!A69</f><v>Other electric appliances</v></c><c r="C32" s="218" t="s"><v>1699</v></c><c r="D32" s="218" t="s"><v>1689</v></c><c r="E32" s="219"><v>2012</v></c><c r="F32" s="220"><v>2020</v></c><c r="G32" s="221"/><c r="H32" s="221"><v>1.9293604498202006</v></c><c r="I32" s="221"/><c r="J32" s="221"><v>2.2168351568434446</v></c><c r="K32" s="342"/><c r="L32" s="342"/><c r="M32" s="344"/></row><row r="33" spans="2:13" s="33" customFormat="1" ht="45"><c r="B33" s="35"/><c r="C33" s="218" t="s"><v>1700</v></c><c r="D33" s="218" t="s"><v>1689</v></c><c r="E33" s="219"><v>2012</v></c><c r="F33" s="220"><v>2020</v></c><c r="G33" s="221"/><c r="H33" s="221"><v>17.825287402044825</v></c><c r="I33" s="221"/><c r="J33" s="221"><v>20.481255224949564</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4.0806071775409185</v></c><c r="I37" s="221"/><c r="J37" s="221"><v>3.5949668684261269</v></c><c r="K37" s="323"><v>41</v></c><c r="L37" s="323"/><c r="M37" s="324"><v>36</v></c></row><row r="38" spans="2:13" s="33" customFormat="1" ht="45"><c r="B38" s="35"/><c r="C38" s="218" t="s"><v>1703</v></c><c r="D38" s="218" t="s"><v>1702</v></c><c r="E38" s="219"><v>2012</v></c><c r="F38" s="220"><v>2020</v></c><c r="G38" s="221"/><c r="H38" s="221"><v>37.669235855872103</v></c><c r="I38" s="221"/><c r="J38" s="221"><v>33.209854458436489</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1.0315372724370617</v></c><c r="I43" s="221"/><c r="J43" s="221"><v>0.65828911567182835</v></c><c r="K43" s="323"><v>25</v></c><c r="L43" s="323"/><c r="M43" s="324"><v>20</v></c></row><row r="44" spans="2:13" s="33" customFormat="1" ht="45"><c r="B44" s="340"/><c r="C44" s="218" t="s"><v>1705</v></c><c r="D44" s="218" t="s"><v>1702</v></c><c r="E44" s="219"><v>2012</v></c><c r="F44" s="220"><v>2020</v></c><c r="G44" s="221"/><c r="H44" s="221"><v>9.3485023420701818</v></c><c r="I44" s="221"/><c r="J44" s="221"><v>5.9884528861596964</v></c><c r="K44" s="342"/><c r="L44" s="342"/><c r="M44" s="344"/></row><row r="45" spans="2:13" s="33" customFormat="1" ht="60"><c r="B45" s="339" t="str"><f>Translation!A75</f><v>Water supply, sewerage, waste management and remediation activities</v></c><c r="C45" s="218" t="s"><v>1706</v></c><c r="D45" s="218" t="s"><v>1689</v></c><c r="E45" s="219"><v>2012</v></c><c r="F45" s="220"><v>2020</v></c><c r="G45" s="221"/><c r="H45" s="221"><v>0.57958476003841497</v></c><c r="I45" s="221"/><c r="J45" s="221"><v>0.6659428892845527</v></c><c r="K45" s="342"/><c r="L45" s="342"/><c r="M45" s="344"/></row><row r="46" spans="2:13" s="33" customFormat="1" ht="60"><c r="B46" s="340"/><c r="C46" s="218" t="s"><v>1707</v></c><c r="D46" s="218" t="s"><v>1689</v></c><c r="E46" s="219"><v>2012</v></c><c r="F46" s="220"><v>2020</v></c><c r="G46" s="221"/><c r="H46" s="221"><v>5.2843438541175498</v></c><c r="I46" s="221"/><c r="J46" s="221"><v>6.071711088381158</v></c><c r="K46" s="342"/><c r="L46" s="342"/><c r="M46" s="344"/></row><row r="47" spans="2:13" s="33" customFormat="1" ht="45"><c r="B47" s="35" t="str"><f>Translation!A76</f><v>Construction</v></c><c r="C47" s="218" t="s"><v>1708</v></c><c r="D47" s="218" t="s"><v>1702</v></c><c r="E47" s="219"><v>2012</v></c><c r="F47" s="220"><v>2020</v></c><c r="G47" s="221"/><c r="H47" s="221"><v>0.92976660613041728</v></c><c r="I47" s="221"/><c r="J47" s="221"><v>0.65041634892380296</v></c><c r="K47" s="342"/><c r="L47" s="342"/><c r="M47" s="344"/></row><row r="48" spans="2:13" s="33" customFormat="1" ht="45"><c r="B48" s="35"/><c r="C48" s="218" t="s"><v>1709</v></c><c r="D48" s="218" t="s"><v>1702</v></c><c r="E48" s="219"><v>2012</v></c><c r="F48" s="220"><v>2020</v></c><c r="G48" s="221"/><c r="H48" s="221"><v>8.4305478373733216</v></c><c r="I48" s="221"/><c r="J48" s="221"><v>5.9174418378570408</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9.3914969569693003</v></c><c r="I52" s="221"/><c r="J52" s="221"><v>7.2988488902588466</v></c><c r="K52" s="323"><v>480</v></c><c r="L52" s="323"><v>11</v></c><c r="M52" s="324"><v>334</v></c></row><row r="53" spans="2:13" s="33" customFormat="1" ht="105"><c r="B53" s="341"/><c r="C53" s="218" t="s"><v>1711</v></c><c r="D53" s="218" t="s"><v>1702</v></c><c r="E53" s="219"><v>2012</v></c><c r="F53" s="220"><v>2020</v></c><c r="G53" s="221"/><c r="H53" s="221"><v>72.050674696742334</v></c><c r="I53" s="221"/><c r="J53" s="221"><v>56.118823709885973</v></c><c r="K53" s="342"/><c r="L53" s="342"/><c r="M53" s="344"/></row><row r="54" spans="2:13" s="33" customFormat="1" ht="45"><c r="B54" s="340"/><c r="C54" s="218" t="s"><v>1692</v></c><c r="D54" s="218" t="s"><v>1702</v></c><c r="E54" s="219"><v>2012</v></c><c r="F54" s="220"><v>2020</v></c><c r="G54" s="221"/><c r="H54" s="221"><v>8.4564190499723839</v></c><c r="I54" s="221"/><c r="J54" s="221"><v>-10.138994737064625</v></c><c r="K54" s="342"/><c r="L54" s="342"/><c r="M54" s="344"/></row><row r="55" spans="2:13" s="33" customFormat="1" ht="45"><c r="B55" s="339" t="str"><f>Translation!A79</f><v>Accommodation and food service activities</v></c><c r="C55" s="218" t="s"><v>1712</v></c><c r="D55" s="218" t="s"><v>1702</v></c><c r="E55" s="219"><v>2012</v></c><c r="F55" s="220"><v>2020</v></c><c r="G55" s="221"/><c r="H55" s="221"><v>18.200672931388706</v></c><c r="I55" s="221"/><c r="J55" s="221"><v>14.956512031100122</v></c><c r="K55" s="342"/><c r="L55" s="342"/><c r="M55" s="344"/></row><row r="56" spans="2:13" s="33" customFormat="1" ht="135"><c r="B56" s="341"/><c r="C56" s="218" t="s"><v>1713</v></c><c r="D56" s="218" t="s"><v>1702</v></c><c r="E56" s="219"><v>2012</v></c><c r="F56" s="220"><v>2020</v></c><c r="G56" s="221"/><c r="H56" s="221"><v>144.47868729502403</v></c><c r="I56" s="221"/><c r="J56" s="221"><v>118.9671263175567</v></c><c r="K56" s="342"/><c r="L56" s="342"/><c r="M56" s="344"/></row><row r="57" spans="2:13" s="33" customFormat="1" ht="60"><c r="B57" s="341"/><c r="C57" s="218" t="s"><v>1714</v></c><c r="D57" s="218" t="s"><v>1702</v></c><c r="E57" s="219"><v>2012</v></c><c r="F57" s="220"><v>2020</v></c><c r="G57" s="221"/><c r="H57" s="221"><v>1.5375012184101959</v></c><c r="I57" s="221"><v>20.407850663159682</v></c><c r="J57" s="221"><v>9.8847623215402152</v></c><c r="K57" s="342"/><c r="L57" s="342"/><c r="M57" s="344"/></row><row r="58" spans="2:13" s="33" customFormat="1" ht="45"><c r="B58" s="341"/><c r="C58" s="218" t="s"><v>1715</v></c><c r="D58" s="218" t="s"><v>1702</v></c><c r="E58" s="219"><v>2012</v></c><c r="F58" s="220"><v>2020</v></c><c r="G58" s="221"/><c r="H58" s="221"><v>18.200672931388706</v></c><c r="I58" s="221"/><c r="J58" s="221"><v>14.956512031100122</v></c><c r="K58" s="342"/><c r="L58" s="342"/><c r="M58" s="344"/></row><row r="59" spans="2:13" s="33" customFormat="1" ht="165"><c r="B59" s="341"/><c r="C59" s="218" t="s"><v>1716</v></c><c r="D59" s="218" t="s"><v>1702</v></c><c r="E59" s="219"><v>2012</v></c><c r="F59" s="220"><v>2020</v></c><c r="G59" s="221"/><c r="H59" s="221"><v>144.47868729502403</v></c><c r="I59" s="221"/><c r="J59" s="221"><v>118.9671263175567</v></c><c r="K59" s="342"/><c r="L59" s="342"/><c r="M59" s="344"/></row><row r="60" spans="2:13" s="33" customFormat="1" ht="60"><c r="B60" s="340"/><c r="C60" s="218" t="s"><v>1717</v></c><c r="D60" s="218" t="s"><v>1702</v></c><c r="E60" s="219"><v>2012</v></c><c r="F60" s="220"><v>2020</v></c><c r="G60" s="221"/><c r="H60" s="221"><v>11.179857179509579</v></c><c r="I60" s="221"><v>9.1835327984218669</v></c><c r="J60" s="221"><v>-4.4218569669667183</v></c><c r="K60" s="342"/><c r="L60" s="342"/><c r="M60" s="344"/></row><row r="61" spans="2:13" s="33" customFormat="1" ht="45"><c r="B61" s="339" t="str"><f>Translation!A80</f><v>General public administration and social security</v></c><c r="C61" s="218" t="s"><v>1718</v></c><c r="D61" s="218" t="s"><v>1689</v></c><c r="E61" s="219"><v>2012</v></c><c r="F61" s="220"><v>2020</v></c><c r="G61" s="221"/><c r="H61" s="221"><v>1.7591223940657477</v></c><c r="I61" s="221"/><c r="J61" s="221"><v>1.696839188965694</v></c><c r="K61" s="342"/><c r="L61" s="342"/><c r="M61" s="344"/></row><row r="62" spans="2:13" s="33" customFormat="1" ht="165"><c r="B62" s="341"/><c r="C62" s="218" t="s"><v>1719</v></c><c r="D62" s="218" t="s"><v>1689</v></c><c r="E62" s="219"><v>2012</v></c><c r="F62" s="220"><v>2020</v></c><c r="G62" s="221"/><c r="H62" s="221"><v>19.136742095071693</v></c><c r="I62" s="221"/><c r="J62" s="221"><v>18.484405956212868</v></c><c r="K62" s="342"/><c r="L62" s="342"/><c r="M62" s="344"/></row><row r="63" spans="2:13" s="33" customFormat="1" ht="30"><c r="B63" s="340"/><c r="C63" s="218" t="s"><v>1720</v></c><c r="D63" s="218" t="s"><v>1689</v></c><c r="E63" s="219"><v>2012</v></c><c r="F63" s="220"><v>2020</v></c><c r="G63" s="221"/><c r="H63" s="221"><v>2.5246473602075841</v></c><c r="I63" s="221"/><c r="J63" s="221"><v>-5.2516321984201362</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1.5327243214916153</v></c><c r="I65" s="221"/><c r="J65" s="221"><v>1.1146942396707245</v></c><c r="K65" s="342"/><c r="L65" s="342"/><c r="M65" s="344"/></row><row r="66" spans="2:13" s="33" customFormat="1" ht="120"><c r="B66" s="341"/><c r="C66" s="218" t="s"><v>1723</v></c><c r="D66" s="218" t="s"><v>1722</v></c><c r="E66" s="219"><v>2012</v></c><c r="F66" s="220"><v>2020</v></c><c r="G66" s="221"/><c r="H66" s="221"><v>17.218806418923325</v></c><c r="I66" s="221"/><c r="J66" s="221"><v>12.557516429766919</v></c><c r="K66" s="342"/><c r="L66" s="342"/><c r="M66" s="344"/></row><row r="67" spans="2:13" s="33" customFormat="1" ht="45"><c r="B67" s="340"/><c r="C67" s="218" t="s"><v>1724</v></c><c r="D67" s="218" t="s"><v>1722</v></c><c r="E67" s="219"><v>2012</v></c><c r="F67" s="220"><v>2020</v></c><c r="G67" s="221"/><c r="H67" s="221"><v>-12.474386600678876</v></c><c r="I67" s="221"/><c r="J67" s="221"><v>-16.994373888265223</v></c><c r="K67" s="342"/><c r="L67" s="342"/><c r="M67" s="344"/></row><row r="68" spans="2:13" s="33" customFormat="1" ht="45"><c r="B68" s="339" t="str"><f>Translation!A83</f><v>Human health and social work activities</v></c><c r="C68" s="218" t="s"><v>1725</v></c><c r="D68" s="218" t="s"><v>1726</v></c><c r="E68" s="219"><v>2012</v></c><c r="F68" s="220"><v>2020</v></c><c r="G68" s="221"/><c r="H68" s="221"><v>0.2246956764833562</v></c><c r="I68" s="221"/><c r="J68" s="221"><v>8.2731775171851041E-2</v></c><c r="K68" s="342"/><c r="L68" s="342"/><c r="M68" s="344"/></row><row r="69" spans="2:13" s="33" customFormat="1" ht="165"><c r="B69" s="341"/><c r="C69" s="218" t="s"><v>1719</v></c><c r="D69" s="218" t="s"><v>1726</v></c><c r="E69" s="219"><v>2012</v></c><c r="F69" s="220"><v>2020</v></c><c r="G69" s="221"/><c r="H69" s="221"><v>1.107698148790708</v></c><c r="I69" s="221"/><c r="J69" s="221"><v>0.80488196820846902</v></c><c r="K69" s="342"/><c r="L69" s="342"/><c r="M69" s="344"/></row><row r="70" spans="2:13" s="33" customFormat="1" ht="45"><c r="B70" s="340"/><c r="C70" s="218" t="s"><v>1727</v></c><c r="D70" s="218" t="s"><v>1728</v></c><c r="E70" s="219"><v>2012</v></c><c r="F70" s="220"><v>2020</v></c><c r="G70" s="221"/><c r="H70" s="221"><v>0.2246956764833562</v></c><c r="I70" s="221"><v>4.462206904925349</v></c><c r="J70" s="221"><v>0.98584583854284979</v></c><c r="K70" s="342"/><c r="L70" s="342"/><c r="M70" s="344"/></row><row r="71" spans="2:13" s="33" customFormat="1" ht="45"><c r="B71" s="339" t="str"><f>Translation!A84</f><v>Other services</v></c><c r="C71" s="218" t="s"><v>1729</v></c><c r="D71" s="218" t="s"><v>1702</v></c><c r="E71" s="219"><v>2012</v></c><c r="F71" s="220"><v>2020</v></c><c r="G71" s="221"/><c r="H71" s="221"><v>2.2539592696727291</v></c><c r="I71" s="221"/><c r="J71" s="221"><v>1.7517237336614926</v></c><c r="K71" s="342"/><c r="L71" s="342"/><c r="M71" s="344"/></row><row r="72" spans="2:13" s="33" customFormat="1" ht="105"><c r="B72" s="341"/><c r="C72" s="218" t="s"><v>1711</v></c><c r="D72" s="218" t="s"><v>1702</v></c><c r="E72" s="219"><v>2012</v></c><c r="F72" s="220"><v>2020</v></c><c r="G72" s="221"/><c r="H72" s="221"><v>0.87532193874115671</v></c><c r="I72" s="221"/><c r="J72" s="221"><v>0.63588026197127567</v></c><c r="K72" s="342"/><c r="L72" s="342"/><c r="M72" s="344"/></row><row r="73" spans="2:13" s="33" customFormat="1" ht="45"><c r="B73" s="340"/><c r="C73" s="218" t="s"><v>1692</v></c><c r="D73" s="218" t="s"><v>1702</v></c><c r="E73" s="219"><v>2012</v></c><c r="F73" s="220"><v>2020</v></c><c r="G73" s="221"/><c r="H73" s="221"><v>15.325246257775385</v></c><c r="I73" s="221"/><c r="J73" s="221"><v>-18.385943366159253</v></c><c r="K73" s="342"/><c r="L73" s="342"/><c r="M73" s="344"/></row><row r="74" spans="2:13" s="33" customFormat="1" ht="45"><c r="B74" s="35" t="str"><f>Translation!A85</f><v>Public lighting</v></c><c r="C74" s="218" t="s"><v>1730</v></c><c r="D74" s="218" t="s"><v>1731</v></c><c r="E74" s="219"><v>2012</v></c><c r="F74" s="220"><v>2020</v></c><c r="G74" s="221"/><c r="H74" s="221"><v>0.66485875286404428</v></c><c r="I74" s="221"/><c r="J74" s="221"><v>0.76392270704066811</v></c><c r="K74" s="342"/><c r="L74" s="342"/><c r="M74" s="344"/></row><row r="75" spans="2:13" s="33" customFormat="1" ht="45"><c r="B75" s="35"/><c r="C75" s="218" t="s"><v>1732</v></c><c r="D75" s="218" t="s"><v>1731</v></c><c r="E75" s="219"><v>2012</v></c><c r="F75" s="220"><v>2020</v></c><c r="G75" s="221"/><c r="H75" s="221"><v>6.6055023659977854</v></c><c r="I75" s="221"/><c r="J75" s="221"><v>7.5897222185315814</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-0.13176562662799066</v></c><c r="I79" s="221"/><c r="J79" s="221"><v>-3.4737005699248077E-2</v></c><c r="K79" s="323"><v>138</v></c><c r="L79" s="323"/><c r="M79" s="324"><v>4</v></c></row><row r="80" spans="2:13" s="33" customFormat="1" ht="45"><c r="B80" s="341"/><c r="C80" s="218" t="s"><v>1735</v></c><c r="D80" s="218" t="s"><v>1736</v></c><c r="E80" s="219"><v>2012</v></c><c r="F80" s="220"><v>2020</v></c><c r="G80" s="221"/><c r="H80" s="221"><v>0.40407731092838933</v></c><c r="I80" s="221"/><c r="J80" s="221"><v>0.1065257777150287</v></c><c r="K80" s="342"/><c r="L80" s="342"/><c r="M80" s="344"/></row><row r="81" spans="2:13" s="33" customFormat="1" ht="45"><c r="B81" s="340"/><c r="C81" s="218" t="s"><v>1737</v></c><c r="D81" s="218" t="s"><v>1689</v></c><c r="E81" s="219"><v>2012</v></c><c r="F81" s="220"><v>2020</v></c><c r="G81" s="221"/><c r="H81" s="221"><v>-1.3542199848517258E-2</v></c><c r="I81" s="221"/><c r="J81" s="221"><v>-0.13926520831308961</v></c><c r="K81" s="342"/><c r="L81" s="342"/><c r="M81" s="344"/></row><row r="82" spans="2:13" s="33" customFormat="1" ht="45"><c r="B82" s="339" t="str"><f>Translation!A88</f><v>Freight transport by road and removal services</v></c><c r="C82" s="218" t="s"><v>1738</v></c><c r="D82" s="218" t="s"><v>1739</v></c><c r="E82" s="219"><v>2012</v></c><c r="F82" s="220"><v>2020</v></c><c r="G82" s="221"/><c r="H82" s="221"><v>38.993460504623528</v></c><c r="I82" s="221"/><c r="J82" s="221"><v>10.279737549482283</v></c><c r="K82" s="342"/><c r="L82" s="342"/><c r="M82" s="344"/></row><row r="83" spans="2:13" s="33" customFormat="1" ht="45"><c r="B83" s="340"/><c r="C83" s="218" t="s"><v>1740</v></c><c r="D83" s="218" t="s"><v>1689</v></c><c r="E83" s="219"><v>2012</v></c><c r="F83" s="220"><v>2020</v></c><c r="G83" s="221"/><c r="H83" s="221"><v>-1.3068222853471525</v></c><c r="I83" s="221"/><c r="J83" s="221"><v>-13.439092602188289</v></c><c r="K83" s="342"/><c r="L83" s="342"/><c r="M83" s="344"/></row><row r="84" spans="2:13" s="33" customFormat="1" ht="45"><c r="B84" s="339" t="str"><f>Translation!A89</f><v>Other fleet for public and private services</v></c><c r="C84" s="218" t="s"><v>1741</v></c><c r="D84" s="218" t="s"><v>1689</v></c><c r="E84" s="219"><v>2012</v></c><c r="F84" s="220"><v>2020</v></c><c r="G84" s="221"/><c r="H84" s="221"><v>3.401924344964856</v></c><c r="I84" s="221"/><c r="J84" s="221"><v>0.85179694514024762</v></c><c r="K84" s="342"/><c r="L84" s="342"/><c r="M84" s="344"/></row><row r="85" spans="2:13" s="33" customFormat="1" ht="45"><c r="B85" s="340"/><c r="C85" s="218" t="s"><v>1742</v></c><c r="D85" s="218" t="s"><v>1689</v></c><c r="E85" s="219"><v>2012</v></c><c r="F85" s="220"><v>2020</v></c><c r="G85" s="221"/><c r="H85" s="221"><v>-8.5514531427179463E-2</v></c><c r="I85" s="221"/><c r="J85" s="221"><v>-0.8910958415468081</v></c><c r="K85" s="342"/><c r="L85" s="342"/><c r="M85" s="344"/></row><row r="86" spans="2:13" s="33" customFormat="1" ht="45"><c r="B86" s="35" t="str"><f>Translation!A90</f><v>Private transports</v></c><c r="C86" s="218" t="s"><v>1743</v></c><c r="D86" s="218" t="s"><v>1689</v></c><c r="E86" s="219"><v>2012</v></c><c r="F86" s="220"><v>2020</v></c><c r="G86" s="221"/><c r="H86" s="221"><v>10.587899921284084</v></c><c r="I86" s="221"/><c r="J86" s="221"><v>2.6726339245954782</v></c><c r="K86" s="342"/><c r="L86" s="342"/><c r="M86" s="344"/></row><row r="87" spans="2:13" s="33" customFormat="1" ht="30"><c r="B87" s="35"/><c r="C87" s="218" t="s"><v>1744</v></c><c r="D87" s="218" t="s"><v>1689</v></c><c r="E87" s="219"><v>2012</v></c><c r="F87" s="220"><v>2020</v></c><c r="G87" s="221"/><c r="H87" s="221"><v>92.132255168860468</v></c><c r="I87" s="221"/><c r="J87" s="221"><v>23.25633907993203</v></c><c r="K87" s="342"/><c r="L87" s="342"/><c r="M87" s="344"/></row><row r="88" spans="2:13" s="33" customFormat="1" ht="45"><c r="B88" s="35"/><c r="C88" s="218" t="s"><v>1745</v></c><c r="D88" s="218" t="s"><v>1689</v></c><c r="E88" s="219"><v>2012</v></c><c r="F88" s="220"><v>2020</v></c><c r="G88" s="221"/><c r="H88" s="221"><v>-2.3159382252876335</v></c><c r="I88" s="221"/><c r="J88" s="221"><v>-24.084344316667234</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414</v></c><c r="M92" s="324"><v>534</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30"><c r="B96" s="35" t="str"><f>Translation!$A$179</f><v>Wind</v></c><c r="C96" s="218" t="s"><v>1746</v></c><c r="D96" s="218" t="s"><v>1689</v></c><c r="E96" s="219"><v>2013</v></c><c r="F96" s="220"><v>2020</v></c><c r="G96" s="221"/><c r="H96" s="221"/><c r="I96" s="221"><v>305.23733333333337</v></c><c r="J96" s="221"><v>395.00414864813098</v></c><c r="K96" s="342"/><c r="L96" s="342"/><c r="M96" s="344"/></row><row r="97" spans="2:13" s="33" customFormat="1" ht="30"><c r="B97" s="35" t="str"><f>Translation!$A$180</f><v>Solar</v></c><c r="C97" s="218" t="s"><v>1747</v></c><c r="D97" s="218" t="s"><v>1689</v></c><c r="E97" s="219"><v>2012</v></c><c r="F97" s="220"><v>2020</v></c><c r="G97" s="221"/><c r="H97" s="221"/><c r="I97" s="221"><v>108.88888888888889</v></c><c r="J97" s="221"><v>139.14269723836736</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1488.4243012079219</v></c><c r="I135" s="203"><f>SUM(I14:I133)</f><v>542.87972707199685</v></c><c r="J135" s="203"><f>SUM(J14:J133)</f><v>1016.2664986809784</v></c><c r="K135" s="36"><f>K14+K37+K43+K52+K79+K92+K108+K115+K120+K129</f><v>1439.831834666169</v></c><c r="L135" s="36"><f>L14+L37+L43+L52+L79+L92+L108+L115+L120+L129</f><v>435.28373884232656</v></c><c r="M135" s="36"><f>M14+M37+M43+M52+M79+M92+M108+M115+M120+M129</f><v>1041.0544094880595</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2012-04-22T18:57:11Z</dcterms:modified>
</cp:coreProperties>
</file>